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crimebretagne-my.sharepoint.com/personal/ligue_escrimebretagne_escrimebretagne_onmicrosoft_com/Documents/Documents/LIGUE ESCRIME BRETAGNE/CLASSEMENT ET RESULTATS/2023_2024/"/>
    </mc:Choice>
  </mc:AlternateContent>
  <xr:revisionPtr revIDLastSave="0" documentId="8_{B889C961-220D-4234-9562-7776D8A367B0}" xr6:coauthVersionLast="47" xr6:coauthVersionMax="47" xr10:uidLastSave="{00000000-0000-0000-0000-000000000000}"/>
  <bookViews>
    <workbookView xWindow="-108" yWindow="-108" windowWidth="23256" windowHeight="12456" tabRatio="820" xr2:uid="{00000000-000D-0000-FFFF-FFFF00000000}"/>
  </bookViews>
  <sheets>
    <sheet name="E H-Vétérans" sheetId="36" r:id="rId1"/>
    <sheet name="E D-Veterans" sheetId="34" r:id="rId2"/>
    <sheet name="E H-Senior" sheetId="19" r:id="rId3"/>
    <sheet name="ED-Senior" sheetId="35" r:id="rId4"/>
    <sheet name="E H-M20-" sheetId="31" r:id="rId5"/>
    <sheet name="E D-M20-" sheetId="2" r:id="rId6"/>
    <sheet name="E H-M17-" sheetId="30" r:id="rId7"/>
    <sheet name="E D-M17-" sheetId="7" r:id="rId8"/>
    <sheet name="E H-M15-" sheetId="25" r:id="rId9"/>
    <sheet name="E D-M15-" sheetId="9" r:id="rId10"/>
    <sheet name="E H-M13-" sheetId="29" r:id="rId11"/>
    <sheet name="E D-M13-" sheetId="28" r:id="rId12"/>
    <sheet name="E H-M11-" sheetId="24" r:id="rId13"/>
    <sheet name="E D-M11-" sheetId="13" r:id="rId14"/>
    <sheet name="E H-M9-" sheetId="26" r:id="rId15"/>
    <sheet name="ED-M9" sheetId="27" r:id="rId16"/>
    <sheet name="Statistiques" sheetId="32" r:id="rId17"/>
  </sheets>
  <definedNames>
    <definedName name="_xlnm._FilterDatabase" localSheetId="13" hidden="1">'E D-M11-'!$B$10:$T$29</definedName>
    <definedName name="_xlnm._FilterDatabase" localSheetId="11" hidden="1">'E D-M13-'!$B$10:$V$34</definedName>
    <definedName name="_xlnm._FilterDatabase" localSheetId="9" hidden="1">'E D-M15-'!$B$10:$W$33</definedName>
    <definedName name="_xlnm._FilterDatabase" localSheetId="5" hidden="1">'E D-M20-'!$B$10:$X$21</definedName>
    <definedName name="_xlnm._FilterDatabase" localSheetId="1" hidden="1">'E D-Veterans'!$B$10:$V$33</definedName>
    <definedName name="_xlnm._FilterDatabase" localSheetId="12" hidden="1">'E H-M11-'!$B$10:$V$56</definedName>
    <definedName name="_xlnm._FilterDatabase" localSheetId="10" hidden="1">'E H-M13-'!$B$10:$V$58</definedName>
    <definedName name="_xlnm._FilterDatabase" localSheetId="8" hidden="1">'E H-M15-'!$B$10:$Y$54</definedName>
    <definedName name="_xlnm._FilterDatabase" localSheetId="4" hidden="1">'E H-M20-'!$B$10:$R$33</definedName>
    <definedName name="_xlnm._FilterDatabase" localSheetId="14" hidden="1">'E H-M9-'!$B$10:$N$40</definedName>
    <definedName name="_xlnm._FilterDatabase" localSheetId="2" hidden="1">'E H-Senior'!$B$10:$Z$33</definedName>
    <definedName name="_xlnm._FilterDatabase" localSheetId="0" hidden="1">'E H-Vétérans'!$B$10:$N$48</definedName>
    <definedName name="_xlnm._FilterDatabase" localSheetId="15" hidden="1">'ED-M9'!$B$10:$N$23</definedName>
    <definedName name="_xlnm._FilterDatabase" localSheetId="3" hidden="1">'ED-Senior'!$B$10:$AD$34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8" i="36" l="1"/>
  <c r="X47" i="36"/>
  <c r="X46" i="36"/>
  <c r="X45" i="36"/>
  <c r="X44" i="36"/>
  <c r="X43" i="36"/>
  <c r="X42" i="36"/>
  <c r="X41" i="36"/>
  <c r="X40" i="36"/>
  <c r="X39" i="36"/>
  <c r="X38" i="36"/>
  <c r="X37" i="36"/>
  <c r="X36" i="36"/>
  <c r="X35" i="36"/>
  <c r="X34" i="36"/>
  <c r="X33" i="36"/>
  <c r="X32" i="36"/>
  <c r="X31" i="36"/>
  <c r="X30" i="36"/>
  <c r="X29" i="36"/>
  <c r="X28" i="36"/>
  <c r="X27" i="36"/>
  <c r="X25" i="36"/>
  <c r="X26" i="36"/>
  <c r="X24" i="36"/>
  <c r="X23" i="36"/>
  <c r="X22" i="36"/>
  <c r="X21" i="36"/>
  <c r="X20" i="36"/>
  <c r="X17" i="36"/>
  <c r="X19" i="36"/>
  <c r="X18" i="36"/>
  <c r="X14" i="36"/>
  <c r="X16" i="36"/>
  <c r="X13" i="36"/>
  <c r="X15" i="36"/>
  <c r="X12" i="36"/>
  <c r="X11" i="36"/>
  <c r="V29" i="34"/>
  <c r="V28" i="34"/>
  <c r="V27" i="34"/>
  <c r="V26" i="34"/>
  <c r="V25" i="34"/>
  <c r="V24" i="34"/>
  <c r="V23" i="34"/>
  <c r="V22" i="34"/>
  <c r="V21" i="34"/>
  <c r="V20" i="34"/>
  <c r="V19" i="34"/>
  <c r="V18" i="34"/>
  <c r="V17" i="34"/>
  <c r="V16" i="34"/>
  <c r="V15" i="34"/>
  <c r="V14" i="34"/>
  <c r="V13" i="34"/>
  <c r="V12" i="34"/>
  <c r="V11" i="34"/>
  <c r="R34" i="28"/>
  <c r="R33" i="28"/>
  <c r="R32" i="28"/>
  <c r="R31" i="28"/>
  <c r="R30" i="28"/>
  <c r="R29" i="28"/>
  <c r="R22" i="28"/>
  <c r="R28" i="28"/>
  <c r="R27" i="28"/>
  <c r="R26" i="28"/>
  <c r="R25" i="28"/>
  <c r="R24" i="28"/>
  <c r="R23" i="28"/>
  <c r="R17" i="28"/>
  <c r="R20" i="28"/>
  <c r="R16" i="28"/>
  <c r="R19" i="28"/>
  <c r="R18" i="28"/>
  <c r="R14" i="28"/>
  <c r="R15" i="28"/>
  <c r="R11" i="28"/>
  <c r="R12" i="28"/>
  <c r="R13" i="28"/>
  <c r="T57" i="29"/>
  <c r="T56" i="29"/>
  <c r="T55" i="29"/>
  <c r="T54" i="29"/>
  <c r="T53" i="29"/>
  <c r="T52" i="29"/>
  <c r="T51" i="29"/>
  <c r="T50" i="29"/>
  <c r="T49" i="29"/>
  <c r="T48" i="29"/>
  <c r="T47" i="29"/>
  <c r="T45" i="29"/>
  <c r="T46" i="29"/>
  <c r="T44" i="29"/>
  <c r="T43" i="29"/>
  <c r="T42" i="29"/>
  <c r="T41" i="29"/>
  <c r="T40" i="29"/>
  <c r="T39" i="29"/>
  <c r="T38" i="29"/>
  <c r="T37" i="29"/>
  <c r="T36" i="29"/>
  <c r="T35" i="29"/>
  <c r="T34" i="29"/>
  <c r="T33" i="29"/>
  <c r="T32" i="29"/>
  <c r="T31" i="29"/>
  <c r="T30" i="29"/>
  <c r="T29" i="29"/>
  <c r="T23" i="29"/>
  <c r="T28" i="29"/>
  <c r="T27" i="29"/>
  <c r="T26" i="29"/>
  <c r="T25" i="29"/>
  <c r="T24" i="29"/>
  <c r="T20" i="29"/>
  <c r="T22" i="29"/>
  <c r="T17" i="29"/>
  <c r="T19" i="29"/>
  <c r="T21" i="29"/>
  <c r="T18" i="29"/>
  <c r="T16" i="29"/>
  <c r="T15" i="29"/>
  <c r="T14" i="29"/>
  <c r="T13" i="29"/>
  <c r="T12" i="29"/>
  <c r="T11" i="29"/>
  <c r="W11" i="9" l="1"/>
  <c r="W16" i="25"/>
  <c r="W11" i="25"/>
  <c r="X34" i="35" l="1"/>
  <c r="X33" i="35"/>
  <c r="X32" i="35"/>
  <c r="X31" i="35"/>
  <c r="X30" i="35"/>
  <c r="X29" i="35"/>
  <c r="X28" i="35"/>
  <c r="X27" i="35"/>
  <c r="X26" i="35"/>
  <c r="X25" i="35"/>
  <c r="X24" i="35"/>
  <c r="X23" i="35"/>
  <c r="X22" i="35"/>
  <c r="X21" i="35"/>
  <c r="X20" i="35"/>
  <c r="X19" i="35"/>
  <c r="X18" i="35"/>
  <c r="X17" i="35"/>
  <c r="X16" i="35"/>
  <c r="X15" i="35"/>
  <c r="X14" i="35"/>
  <c r="X12" i="35"/>
  <c r="X13" i="35"/>
  <c r="X11" i="35"/>
  <c r="X82" i="19"/>
  <c r="X81" i="19"/>
  <c r="X80" i="19"/>
  <c r="X79" i="19"/>
  <c r="X78" i="19"/>
  <c r="X77" i="19"/>
  <c r="X76" i="19"/>
  <c r="X75" i="19"/>
  <c r="X74" i="19"/>
  <c r="X73" i="19"/>
  <c r="X72" i="19"/>
  <c r="X71" i="19"/>
  <c r="X70" i="19"/>
  <c r="X69" i="19"/>
  <c r="X68" i="19"/>
  <c r="X67" i="19"/>
  <c r="X66" i="19"/>
  <c r="X65" i="19"/>
  <c r="X64" i="19"/>
  <c r="X63" i="19"/>
  <c r="X62" i="19"/>
  <c r="X61" i="19"/>
  <c r="X60" i="19"/>
  <c r="X59" i="19"/>
  <c r="X58" i="19"/>
  <c r="X57" i="19"/>
  <c r="X56" i="19"/>
  <c r="X55" i="19"/>
  <c r="X54" i="19"/>
  <c r="X53" i="19"/>
  <c r="X52" i="19"/>
  <c r="X51" i="19"/>
  <c r="X50" i="19"/>
  <c r="X49" i="19"/>
  <c r="X48" i="19"/>
  <c r="X47" i="19"/>
  <c r="X46" i="19"/>
  <c r="X45" i="19"/>
  <c r="X44" i="19"/>
  <c r="X43" i="19"/>
  <c r="X42" i="19"/>
  <c r="X41" i="19"/>
  <c r="X40" i="19"/>
  <c r="X39" i="19"/>
  <c r="X38" i="19"/>
  <c r="X37" i="19"/>
  <c r="X36" i="19"/>
  <c r="X35" i="19"/>
  <c r="X34" i="19"/>
  <c r="X33" i="19"/>
  <c r="X32" i="19"/>
  <c r="X31" i="19"/>
  <c r="X30" i="19"/>
  <c r="X29" i="19"/>
  <c r="X28" i="19"/>
  <c r="X27" i="19"/>
  <c r="X26" i="19"/>
  <c r="X25" i="19"/>
  <c r="X24" i="19"/>
  <c r="X23" i="19"/>
  <c r="X22" i="19"/>
  <c r="X21" i="19"/>
  <c r="X20" i="19"/>
  <c r="X19" i="19"/>
  <c r="X18" i="19"/>
  <c r="X17" i="19"/>
  <c r="X15" i="19"/>
  <c r="X16" i="19"/>
  <c r="X14" i="19"/>
  <c r="X11" i="19"/>
  <c r="X13" i="19"/>
  <c r="X12" i="19"/>
  <c r="T12" i="19"/>
  <c r="V11" i="7" l="1"/>
  <c r="V11" i="30"/>
  <c r="T30" i="34" l="1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V48" i="36"/>
  <c r="V47" i="36"/>
  <c r="V46" i="36"/>
  <c r="V45" i="36"/>
  <c r="V44" i="36"/>
  <c r="V43" i="36"/>
  <c r="V42" i="36"/>
  <c r="V41" i="36"/>
  <c r="V40" i="36"/>
  <c r="V32" i="36"/>
  <c r="V39" i="36"/>
  <c r="V37" i="36"/>
  <c r="V38" i="36"/>
  <c r="V28" i="36"/>
  <c r="V26" i="36"/>
  <c r="V30" i="36"/>
  <c r="V36" i="36"/>
  <c r="V35" i="36"/>
  <c r="V34" i="36"/>
  <c r="V33" i="36"/>
  <c r="V25" i="36"/>
  <c r="V31" i="36"/>
  <c r="V29" i="36"/>
  <c r="V21" i="36"/>
  <c r="V27" i="36"/>
  <c r="V20" i="36"/>
  <c r="V24" i="36"/>
  <c r="V23" i="36"/>
  <c r="V22" i="36"/>
  <c r="V19" i="36"/>
  <c r="V17" i="36"/>
  <c r="V14" i="36"/>
  <c r="V18" i="36"/>
  <c r="V13" i="36"/>
  <c r="V16" i="36"/>
  <c r="V12" i="36"/>
  <c r="V15" i="36"/>
  <c r="V11" i="36"/>
  <c r="V21" i="2" l="1"/>
  <c r="V20" i="2"/>
  <c r="V19" i="2"/>
  <c r="V18" i="2"/>
  <c r="V17" i="2"/>
  <c r="V16" i="2"/>
  <c r="V15" i="2"/>
  <c r="V13" i="2"/>
  <c r="V14" i="2"/>
  <c r="V12" i="2"/>
  <c r="V11" i="2"/>
  <c r="V33" i="31"/>
  <c r="V32" i="31"/>
  <c r="V31" i="31"/>
  <c r="V30" i="31"/>
  <c r="V29" i="31"/>
  <c r="V28" i="31"/>
  <c r="V27" i="31"/>
  <c r="V26" i="31"/>
  <c r="V25" i="31"/>
  <c r="V24" i="31"/>
  <c r="V23" i="31"/>
  <c r="V22" i="31"/>
  <c r="V21" i="31"/>
  <c r="V20" i="31"/>
  <c r="V19" i="31"/>
  <c r="V18" i="31"/>
  <c r="V17" i="31"/>
  <c r="V16" i="31"/>
  <c r="V13" i="31"/>
  <c r="V15" i="31"/>
  <c r="V14" i="31"/>
  <c r="V12" i="31"/>
  <c r="V11" i="31"/>
  <c r="T82" i="19" l="1"/>
  <c r="T81" i="19"/>
  <c r="T80" i="19"/>
  <c r="T79" i="19"/>
  <c r="T78" i="19"/>
  <c r="T77" i="19"/>
  <c r="T76" i="19"/>
  <c r="T75" i="19"/>
  <c r="T74" i="19"/>
  <c r="T73" i="19"/>
  <c r="T72" i="19"/>
  <c r="T71" i="19"/>
  <c r="T70" i="19"/>
  <c r="T69" i="19"/>
  <c r="T68" i="19"/>
  <c r="T67" i="19"/>
  <c r="T66" i="19"/>
  <c r="T65" i="19"/>
  <c r="T64" i="19"/>
  <c r="T63" i="19"/>
  <c r="T62" i="19"/>
  <c r="T61" i="19"/>
  <c r="T60" i="19"/>
  <c r="T59" i="19"/>
  <c r="T58" i="19"/>
  <c r="T57" i="19"/>
  <c r="T56" i="19"/>
  <c r="T55" i="19"/>
  <c r="T54" i="19"/>
  <c r="T53" i="19"/>
  <c r="T52" i="19"/>
  <c r="T51" i="19"/>
  <c r="T50" i="19"/>
  <c r="T49" i="19"/>
  <c r="T48" i="19"/>
  <c r="T47" i="19"/>
  <c r="T46" i="19"/>
  <c r="T45" i="19"/>
  <c r="T44" i="19"/>
  <c r="T43" i="19"/>
  <c r="T42" i="19"/>
  <c r="T41" i="19"/>
  <c r="T40" i="19"/>
  <c r="T39" i="19"/>
  <c r="T38" i="19"/>
  <c r="T37" i="19"/>
  <c r="T36" i="19"/>
  <c r="T35" i="19"/>
  <c r="T34" i="19"/>
  <c r="T33" i="19"/>
  <c r="T32" i="19"/>
  <c r="T31" i="19"/>
  <c r="T30" i="19"/>
  <c r="T29" i="19"/>
  <c r="T28" i="19"/>
  <c r="T27" i="19"/>
  <c r="T26" i="19"/>
  <c r="T25" i="19"/>
  <c r="T24" i="19"/>
  <c r="T23" i="19"/>
  <c r="T22" i="19"/>
  <c r="T21" i="19"/>
  <c r="T20" i="19"/>
  <c r="T19" i="19"/>
  <c r="T18" i="19"/>
  <c r="T17" i="19"/>
  <c r="T16" i="19"/>
  <c r="T14" i="19"/>
  <c r="T15" i="19"/>
  <c r="T11" i="19"/>
  <c r="T13" i="19"/>
  <c r="R13" i="19"/>
  <c r="N14" i="7" l="1"/>
  <c r="T22" i="7"/>
  <c r="T21" i="7"/>
  <c r="T20" i="7"/>
  <c r="T19" i="7"/>
  <c r="T18" i="7"/>
  <c r="T17" i="7"/>
  <c r="T16" i="7"/>
  <c r="T15" i="7"/>
  <c r="T12" i="7"/>
  <c r="T14" i="7"/>
  <c r="T13" i="7"/>
  <c r="T11" i="7"/>
  <c r="T16" i="2" l="1"/>
  <c r="T21" i="2"/>
  <c r="T20" i="2"/>
  <c r="T19" i="2"/>
  <c r="T18" i="2"/>
  <c r="T17" i="2"/>
  <c r="T15" i="2"/>
  <c r="T13" i="2"/>
  <c r="T14" i="2"/>
  <c r="T12" i="2"/>
  <c r="T11" i="2"/>
  <c r="H47" i="36" l="1"/>
  <c r="H46" i="36"/>
  <c r="H45" i="36"/>
  <c r="H44" i="36"/>
  <c r="H43" i="36"/>
  <c r="H42" i="36"/>
  <c r="H41" i="36"/>
  <c r="H40" i="36"/>
  <c r="H32" i="36"/>
  <c r="H39" i="36"/>
  <c r="H37" i="36"/>
  <c r="H38" i="36"/>
  <c r="H28" i="36"/>
  <c r="H26" i="36"/>
  <c r="H30" i="36"/>
  <c r="H36" i="36"/>
  <c r="H35" i="36"/>
  <c r="H34" i="36"/>
  <c r="H25" i="36"/>
  <c r="H33" i="36"/>
  <c r="H31" i="36"/>
  <c r="H29" i="36"/>
  <c r="H21" i="36"/>
  <c r="H27" i="36"/>
  <c r="H20" i="36"/>
  <c r="H24" i="36"/>
  <c r="H23" i="36"/>
  <c r="H22" i="36"/>
  <c r="H19" i="36"/>
  <c r="H17" i="36"/>
  <c r="H14" i="36"/>
  <c r="H18" i="36"/>
  <c r="H13" i="36"/>
  <c r="H16" i="36"/>
  <c r="H12" i="36"/>
  <c r="H15" i="36"/>
  <c r="H11" i="36"/>
  <c r="F11" i="36"/>
  <c r="H48" i="36"/>
  <c r="R11" i="36" l="1"/>
  <c r="T11" i="36"/>
  <c r="L11" i="36"/>
  <c r="J11" i="36"/>
  <c r="N16" i="36"/>
  <c r="N11" i="36"/>
  <c r="P48" i="36"/>
  <c r="P47" i="36"/>
  <c r="P46" i="36"/>
  <c r="P45" i="36"/>
  <c r="P44" i="36"/>
  <c r="P43" i="36"/>
  <c r="P42" i="36"/>
  <c r="P41" i="36"/>
  <c r="P40" i="36"/>
  <c r="P32" i="36"/>
  <c r="P39" i="36"/>
  <c r="P37" i="36"/>
  <c r="P38" i="36"/>
  <c r="P28" i="36"/>
  <c r="P26" i="36"/>
  <c r="P30" i="36"/>
  <c r="P36" i="36"/>
  <c r="P35" i="36"/>
  <c r="P34" i="36"/>
  <c r="P25" i="36"/>
  <c r="P33" i="36"/>
  <c r="P31" i="36"/>
  <c r="P29" i="36"/>
  <c r="P21" i="36"/>
  <c r="P27" i="36"/>
  <c r="P20" i="36"/>
  <c r="P24" i="36"/>
  <c r="P23" i="36"/>
  <c r="P22" i="36"/>
  <c r="P19" i="36"/>
  <c r="P17" i="36"/>
  <c r="P14" i="36"/>
  <c r="P18" i="36"/>
  <c r="P13" i="36"/>
  <c r="P16" i="36"/>
  <c r="P12" i="36"/>
  <c r="P15" i="36"/>
  <c r="P11" i="36"/>
  <c r="T16" i="36"/>
  <c r="Y11" i="36" l="1"/>
  <c r="V54" i="29"/>
  <c r="R45" i="29"/>
  <c r="U45" i="29" s="1"/>
  <c r="V56" i="29"/>
  <c r="R34" i="29"/>
  <c r="U34" i="29" s="1"/>
  <c r="R37" i="29"/>
  <c r="U37" i="29" s="1"/>
  <c r="V55" i="29"/>
  <c r="V57" i="29"/>
  <c r="R58" i="29"/>
  <c r="R54" i="29"/>
  <c r="R57" i="29"/>
  <c r="R56" i="29"/>
  <c r="R55" i="29"/>
  <c r="R53" i="29"/>
  <c r="R52" i="29"/>
  <c r="R51" i="29"/>
  <c r="R50" i="29"/>
  <c r="R49" i="29"/>
  <c r="R41" i="29"/>
  <c r="R48" i="29"/>
  <c r="R38" i="29"/>
  <c r="R47" i="29"/>
  <c r="R44" i="29"/>
  <c r="R46" i="29"/>
  <c r="R43" i="29"/>
  <c r="R42" i="29"/>
  <c r="R35" i="29"/>
  <c r="R25" i="29"/>
  <c r="R33" i="29"/>
  <c r="R40" i="29"/>
  <c r="R39" i="29"/>
  <c r="R36" i="29"/>
  <c r="R29" i="29"/>
  <c r="R23" i="29"/>
  <c r="R26" i="29"/>
  <c r="R20" i="29"/>
  <c r="R32" i="29"/>
  <c r="R24" i="29"/>
  <c r="R31" i="29"/>
  <c r="R30" i="29"/>
  <c r="R27" i="29"/>
  <c r="R28" i="29"/>
  <c r="R22" i="29"/>
  <c r="R21" i="29"/>
  <c r="R17" i="29"/>
  <c r="R19" i="29"/>
  <c r="R18" i="29"/>
  <c r="R16" i="29"/>
  <c r="R14" i="29"/>
  <c r="R15" i="29"/>
  <c r="R13" i="29"/>
  <c r="R12" i="29"/>
  <c r="R11" i="29"/>
  <c r="N17" i="28" l="1"/>
  <c r="U17" i="28" s="1"/>
  <c r="V33" i="28"/>
  <c r="N31" i="28"/>
  <c r="N34" i="28"/>
  <c r="N33" i="28"/>
  <c r="N28" i="28"/>
  <c r="N32" i="28"/>
  <c r="N30" i="28"/>
  <c r="N29" i="28"/>
  <c r="N24" i="28"/>
  <c r="N22" i="28"/>
  <c r="N27" i="28"/>
  <c r="N26" i="28"/>
  <c r="N25" i="28"/>
  <c r="N20" i="28"/>
  <c r="N23" i="28"/>
  <c r="N21" i="28"/>
  <c r="N18" i="28"/>
  <c r="N19" i="28"/>
  <c r="N16" i="28"/>
  <c r="N15" i="28"/>
  <c r="N14" i="28"/>
  <c r="N12" i="28"/>
  <c r="N13" i="28"/>
  <c r="N11" i="28"/>
  <c r="R43" i="36" l="1"/>
  <c r="Y43" i="36" s="1"/>
  <c r="R42" i="36"/>
  <c r="Y42" i="36" s="1"/>
  <c r="Z47" i="36"/>
  <c r="Z46" i="36"/>
  <c r="R48" i="36"/>
  <c r="Y48" i="36" s="1"/>
  <c r="Z45" i="36"/>
  <c r="R13" i="36"/>
  <c r="R32" i="36" l="1"/>
  <c r="Y32" i="36" s="1"/>
  <c r="R39" i="36"/>
  <c r="Y39" i="36" s="1"/>
  <c r="Z43" i="36"/>
  <c r="Z44" i="36"/>
  <c r="R40" i="36"/>
  <c r="Y40" i="36" s="1"/>
  <c r="Z42" i="36"/>
  <c r="R41" i="36"/>
  <c r="R30" i="36"/>
  <c r="R28" i="36"/>
  <c r="R21" i="36"/>
  <c r="R26" i="36"/>
  <c r="R25" i="36"/>
  <c r="R47" i="36"/>
  <c r="R35" i="36"/>
  <c r="R33" i="36"/>
  <c r="R46" i="36"/>
  <c r="R45" i="36"/>
  <c r="R36" i="36"/>
  <c r="R29" i="36"/>
  <c r="R44" i="36"/>
  <c r="R31" i="36"/>
  <c r="R34" i="36"/>
  <c r="R27" i="36"/>
  <c r="R20" i="36"/>
  <c r="R24" i="36"/>
  <c r="R37" i="36"/>
  <c r="R38" i="36"/>
  <c r="R23" i="36"/>
  <c r="R22" i="36"/>
  <c r="R17" i="36"/>
  <c r="R14" i="36"/>
  <c r="R19" i="36"/>
  <c r="R18" i="36"/>
  <c r="R16" i="36"/>
  <c r="R12" i="36"/>
  <c r="R15" i="36"/>
  <c r="R14" i="34" l="1"/>
  <c r="R27" i="34"/>
  <c r="R26" i="34"/>
  <c r="R25" i="34"/>
  <c r="R24" i="34"/>
  <c r="R23" i="34"/>
  <c r="R22" i="34"/>
  <c r="R21" i="34"/>
  <c r="R20" i="34"/>
  <c r="R19" i="34"/>
  <c r="R18" i="34"/>
  <c r="R17" i="34"/>
  <c r="R16" i="34"/>
  <c r="R13" i="34"/>
  <c r="R15" i="34"/>
  <c r="R12" i="34"/>
  <c r="R11" i="34"/>
  <c r="T25" i="36" l="1"/>
  <c r="Y25" i="36" s="1"/>
  <c r="Z41" i="36"/>
  <c r="T37" i="36"/>
  <c r="T24" i="36"/>
  <c r="T27" i="36"/>
  <c r="T41" i="36"/>
  <c r="T30" i="36"/>
  <c r="T28" i="36"/>
  <c r="T21" i="36"/>
  <c r="T26" i="36"/>
  <c r="T47" i="36"/>
  <c r="T35" i="36"/>
  <c r="T33" i="36"/>
  <c r="T46" i="36"/>
  <c r="T45" i="36"/>
  <c r="T36" i="36"/>
  <c r="T29" i="36"/>
  <c r="T44" i="36"/>
  <c r="T31" i="36"/>
  <c r="T34" i="36"/>
  <c r="T20" i="36"/>
  <c r="T38" i="36"/>
  <c r="T23" i="36"/>
  <c r="T22" i="36"/>
  <c r="T17" i="36"/>
  <c r="T14" i="36"/>
  <c r="T19" i="36"/>
  <c r="T18" i="36"/>
  <c r="T13" i="36"/>
  <c r="T15" i="36"/>
  <c r="T12" i="36"/>
  <c r="P25" i="34"/>
  <c r="P24" i="34"/>
  <c r="P23" i="34"/>
  <c r="P22" i="34"/>
  <c r="P21" i="34"/>
  <c r="P20" i="34"/>
  <c r="P19" i="34"/>
  <c r="P18" i="34"/>
  <c r="P17" i="34"/>
  <c r="P16" i="34"/>
  <c r="P14" i="34"/>
  <c r="P13" i="34"/>
  <c r="P15" i="34"/>
  <c r="P12" i="34"/>
  <c r="P11" i="34"/>
  <c r="R80" i="19" l="1"/>
  <c r="Y80" i="19" s="1"/>
  <c r="R79" i="19"/>
  <c r="Y79" i="19" s="1"/>
  <c r="Z78" i="19"/>
  <c r="Z77" i="19"/>
  <c r="R77" i="19"/>
  <c r="Y77" i="19" s="1"/>
  <c r="R74" i="19"/>
  <c r="Y74" i="19" s="1"/>
  <c r="R72" i="19"/>
  <c r="Y72" i="19" s="1"/>
  <c r="R67" i="19"/>
  <c r="Y67" i="19" s="1"/>
  <c r="R63" i="19"/>
  <c r="Y63" i="19" s="1"/>
  <c r="R60" i="19"/>
  <c r="Y60" i="19" s="1"/>
  <c r="R56" i="19"/>
  <c r="Y56" i="19" s="1"/>
  <c r="Z76" i="19"/>
  <c r="Z75" i="19"/>
  <c r="Z74" i="19"/>
  <c r="Z73" i="19"/>
  <c r="Z72" i="19"/>
  <c r="Z71" i="19"/>
  <c r="Z70" i="19"/>
  <c r="R53" i="19"/>
  <c r="Y53" i="19" s="1"/>
  <c r="Z80" i="19"/>
  <c r="R46" i="19"/>
  <c r="Y46" i="19" s="1"/>
  <c r="R43" i="19"/>
  <c r="Y43" i="19" s="1"/>
  <c r="R42" i="19"/>
  <c r="Y42" i="19" s="1"/>
  <c r="R40" i="19"/>
  <c r="Y40" i="19" s="1"/>
  <c r="R39" i="19"/>
  <c r="Y39" i="19" s="1"/>
  <c r="Z79" i="19"/>
  <c r="Z69" i="19"/>
  <c r="Z68" i="19"/>
  <c r="Z67" i="19"/>
  <c r="Z66" i="19"/>
  <c r="R38" i="19"/>
  <c r="Y38" i="19" s="1"/>
  <c r="Z81" i="19"/>
  <c r="R31" i="19"/>
  <c r="R47" i="19"/>
  <c r="R57" i="19"/>
  <c r="R82" i="19"/>
  <c r="R81" i="19"/>
  <c r="R73" i="19"/>
  <c r="R62" i="19"/>
  <c r="R78" i="19"/>
  <c r="R76" i="19"/>
  <c r="R75" i="19"/>
  <c r="R58" i="19"/>
  <c r="R71" i="19"/>
  <c r="R28" i="19"/>
  <c r="R70" i="19"/>
  <c r="R35" i="19"/>
  <c r="R69" i="19"/>
  <c r="R68" i="19"/>
  <c r="R66" i="19"/>
  <c r="R65" i="19"/>
  <c r="R64" i="19"/>
  <c r="R61" i="19"/>
  <c r="R59" i="19"/>
  <c r="R32" i="19"/>
  <c r="R55" i="19"/>
  <c r="R41" i="19"/>
  <c r="R54" i="19"/>
  <c r="R52" i="19"/>
  <c r="R51" i="19"/>
  <c r="R50" i="19"/>
  <c r="R49" i="19"/>
  <c r="R48" i="19"/>
  <c r="R30" i="19"/>
  <c r="R33" i="19"/>
  <c r="R45" i="19"/>
  <c r="R44" i="19"/>
  <c r="R37" i="19"/>
  <c r="R27" i="19"/>
  <c r="R25" i="19"/>
  <c r="R26" i="19"/>
  <c r="R20" i="19"/>
  <c r="R21" i="19"/>
  <c r="R36" i="19"/>
  <c r="R34" i="19"/>
  <c r="R18" i="19"/>
  <c r="R29" i="19"/>
  <c r="R22" i="19"/>
  <c r="R24" i="19"/>
  <c r="R23" i="19"/>
  <c r="R19" i="19"/>
  <c r="R17" i="19"/>
  <c r="R16" i="19"/>
  <c r="R14" i="19"/>
  <c r="R15" i="19"/>
  <c r="R11" i="19"/>
  <c r="R12" i="19"/>
  <c r="N13" i="19"/>
  <c r="T48" i="30"/>
  <c r="W48" i="30" s="1"/>
  <c r="X49" i="30"/>
  <c r="T42" i="30"/>
  <c r="W42" i="30" s="1"/>
  <c r="X48" i="30"/>
  <c r="T35" i="30"/>
  <c r="W35" i="30" s="1"/>
  <c r="X47" i="30"/>
  <c r="A47" i="30" s="1"/>
  <c r="T50" i="30"/>
  <c r="T49" i="30"/>
  <c r="T47" i="30"/>
  <c r="T45" i="30"/>
  <c r="T46" i="30"/>
  <c r="T44" i="30"/>
  <c r="T43" i="30"/>
  <c r="T32" i="30"/>
  <c r="T41" i="30"/>
  <c r="T40" i="30"/>
  <c r="T39" i="30"/>
  <c r="T34" i="30"/>
  <c r="T38" i="30"/>
  <c r="T37" i="30"/>
  <c r="T36" i="30"/>
  <c r="T31" i="30"/>
  <c r="T33" i="30"/>
  <c r="T30" i="30"/>
  <c r="T25" i="30"/>
  <c r="T29" i="30"/>
  <c r="T23" i="30"/>
  <c r="T26" i="30"/>
  <c r="T28" i="30"/>
  <c r="T22" i="30"/>
  <c r="T27" i="30"/>
  <c r="T24" i="30"/>
  <c r="T21" i="30"/>
  <c r="T18" i="30"/>
  <c r="T19" i="30"/>
  <c r="T16" i="30"/>
  <c r="T17" i="30"/>
  <c r="T20" i="30"/>
  <c r="T15" i="30"/>
  <c r="T12" i="30"/>
  <c r="T14" i="30"/>
  <c r="T13" i="30"/>
  <c r="T11" i="30"/>
  <c r="R34" i="35"/>
  <c r="AC34" i="35" s="1"/>
  <c r="R33" i="35"/>
  <c r="R30" i="35"/>
  <c r="R29" i="35"/>
  <c r="R28" i="35"/>
  <c r="R25" i="35"/>
  <c r="R21" i="35"/>
  <c r="R18" i="35"/>
  <c r="R17" i="35"/>
  <c r="R32" i="35"/>
  <c r="R24" i="35"/>
  <c r="R31" i="35"/>
  <c r="R19" i="35"/>
  <c r="R23" i="35"/>
  <c r="R27" i="35"/>
  <c r="R16" i="35"/>
  <c r="R12" i="35"/>
  <c r="R26" i="35"/>
  <c r="R14" i="35"/>
  <c r="R22" i="35"/>
  <c r="R20" i="35"/>
  <c r="R15" i="35"/>
  <c r="R13" i="35"/>
  <c r="R11" i="35"/>
  <c r="P19" i="7" l="1"/>
  <c r="P22" i="7"/>
  <c r="P21" i="7"/>
  <c r="P20" i="7"/>
  <c r="P18" i="7"/>
  <c r="P17" i="7"/>
  <c r="P16" i="7"/>
  <c r="P15" i="7"/>
  <c r="P12" i="7"/>
  <c r="P14" i="7"/>
  <c r="P13" i="7"/>
  <c r="P11" i="7"/>
  <c r="S52" i="25" l="1"/>
  <c r="X52" i="25" s="1"/>
  <c r="S47" i="25"/>
  <c r="S51" i="25"/>
  <c r="X51" i="25" s="1"/>
  <c r="S48" i="25"/>
  <c r="X48" i="25" s="1"/>
  <c r="S43" i="25"/>
  <c r="S42" i="25"/>
  <c r="S54" i="25"/>
  <c r="S53" i="25"/>
  <c r="S49" i="25"/>
  <c r="S50" i="25"/>
  <c r="S45" i="25"/>
  <c r="S38" i="25"/>
  <c r="S34" i="25"/>
  <c r="S41" i="25"/>
  <c r="S46" i="25"/>
  <c r="S40" i="25"/>
  <c r="S44" i="25"/>
  <c r="S36" i="25"/>
  <c r="S39" i="25"/>
  <c r="S37" i="25"/>
  <c r="S35" i="25"/>
  <c r="S32" i="25"/>
  <c r="S31" i="25"/>
  <c r="S33" i="25"/>
  <c r="S30" i="25"/>
  <c r="S29" i="25"/>
  <c r="S28" i="25"/>
  <c r="S27" i="25"/>
  <c r="S26" i="25"/>
  <c r="S25" i="25"/>
  <c r="S24" i="25"/>
  <c r="S23" i="25"/>
  <c r="S20" i="25"/>
  <c r="S22" i="25"/>
  <c r="S21" i="25"/>
  <c r="S19" i="25"/>
  <c r="S17" i="25"/>
  <c r="S18" i="25"/>
  <c r="S16" i="25"/>
  <c r="S15" i="25"/>
  <c r="S14" i="25"/>
  <c r="S13" i="25"/>
  <c r="S12" i="25"/>
  <c r="S11" i="25"/>
  <c r="Z53" i="25"/>
  <c r="Y53" i="25"/>
  <c r="Z52" i="25"/>
  <c r="Y52" i="25"/>
  <c r="Z51" i="25"/>
  <c r="Y51" i="25"/>
  <c r="S33" i="9" l="1"/>
  <c r="S32" i="9"/>
  <c r="S31" i="9"/>
  <c r="S29" i="9"/>
  <c r="S30" i="9"/>
  <c r="S23" i="9"/>
  <c r="S26" i="9"/>
  <c r="S20" i="9"/>
  <c r="S25" i="9"/>
  <c r="S24" i="9"/>
  <c r="S28" i="9"/>
  <c r="S21" i="9"/>
  <c r="S18" i="9"/>
  <c r="S22" i="9"/>
  <c r="S19" i="9"/>
  <c r="S17" i="9"/>
  <c r="S16" i="9"/>
  <c r="S15" i="9"/>
  <c r="S14" i="9"/>
  <c r="S12" i="9"/>
  <c r="S13" i="9"/>
  <c r="S11" i="9"/>
  <c r="R33" i="31" l="1"/>
  <c r="R31" i="31"/>
  <c r="W31" i="31" s="1"/>
  <c r="X31" i="31"/>
  <c r="R30" i="31"/>
  <c r="W30" i="31" s="1"/>
  <c r="R29" i="31"/>
  <c r="W29" i="31" s="1"/>
  <c r="R28" i="31"/>
  <c r="W28" i="31" s="1"/>
  <c r="X29" i="31"/>
  <c r="X28" i="31"/>
  <c r="X27" i="31"/>
  <c r="R26" i="31"/>
  <c r="W26" i="31" s="1"/>
  <c r="R25" i="31"/>
  <c r="W25" i="31" s="1"/>
  <c r="R24" i="31"/>
  <c r="W24" i="31" s="1"/>
  <c r="R22" i="31"/>
  <c r="W22" i="31" s="1"/>
  <c r="R21" i="31"/>
  <c r="W21" i="31" s="1"/>
  <c r="R18" i="31"/>
  <c r="X30" i="31"/>
  <c r="X26" i="31"/>
  <c r="X25" i="31"/>
  <c r="X24" i="31"/>
  <c r="X23" i="31"/>
  <c r="R23" i="31"/>
  <c r="R32" i="31"/>
  <c r="R27" i="31"/>
  <c r="R19" i="31"/>
  <c r="R16" i="31"/>
  <c r="R17" i="31"/>
  <c r="R20" i="31"/>
  <c r="R15" i="31"/>
  <c r="R13" i="31"/>
  <c r="R14" i="31"/>
  <c r="R12" i="31"/>
  <c r="R11" i="31"/>
  <c r="P21" i="2"/>
  <c r="W21" i="2" s="1"/>
  <c r="P20" i="2"/>
  <c r="W20" i="2" s="1"/>
  <c r="X20" i="2"/>
  <c r="X19" i="2"/>
  <c r="P15" i="2"/>
  <c r="P11" i="2"/>
  <c r="L33" i="28" l="1"/>
  <c r="U33" i="28" s="1"/>
  <c r="W32" i="28"/>
  <c r="X32" i="28" s="1"/>
  <c r="V32" i="28"/>
  <c r="L28" i="28"/>
  <c r="U28" i="28" s="1"/>
  <c r="W31" i="28"/>
  <c r="X31" i="28" s="1"/>
  <c r="V31" i="28"/>
  <c r="L30" i="28"/>
  <c r="L22" i="28"/>
  <c r="L27" i="28"/>
  <c r="L25" i="28"/>
  <c r="L20" i="28"/>
  <c r="L34" i="28"/>
  <c r="L31" i="28"/>
  <c r="L32" i="28"/>
  <c r="L29" i="28"/>
  <c r="L24" i="28"/>
  <c r="L21" i="28"/>
  <c r="L26" i="28"/>
  <c r="L19" i="28"/>
  <c r="L23" i="28"/>
  <c r="L18" i="28"/>
  <c r="L15" i="28"/>
  <c r="L14" i="28"/>
  <c r="L16" i="28"/>
  <c r="L13" i="28"/>
  <c r="L12" i="28"/>
  <c r="L11" i="28"/>
  <c r="L18" i="13"/>
  <c r="L28" i="13"/>
  <c r="S28" i="13" s="1"/>
  <c r="T28" i="13"/>
  <c r="L24" i="13"/>
  <c r="S24" i="13" s="1"/>
  <c r="T27" i="13"/>
  <c r="T26" i="13"/>
  <c r="T25" i="13"/>
  <c r="L17" i="13"/>
  <c r="L23" i="13"/>
  <c r="S23" i="13" s="1"/>
  <c r="L15" i="13"/>
  <c r="S15" i="13" s="1"/>
  <c r="L22" i="13"/>
  <c r="S22" i="13" s="1"/>
  <c r="T24" i="13"/>
  <c r="L27" i="13"/>
  <c r="L29" i="13"/>
  <c r="L21" i="13"/>
  <c r="L16" i="13"/>
  <c r="L20" i="13"/>
  <c r="L26" i="13"/>
  <c r="L25" i="13"/>
  <c r="L14" i="13"/>
  <c r="L19" i="13"/>
  <c r="L12" i="13"/>
  <c r="L13" i="13"/>
  <c r="L11" i="13"/>
  <c r="J17" i="13"/>
  <c r="J27" i="13"/>
  <c r="J29" i="13"/>
  <c r="J21" i="13"/>
  <c r="J16" i="13"/>
  <c r="J20" i="13"/>
  <c r="J26" i="13"/>
  <c r="J25" i="13"/>
  <c r="J14" i="13"/>
  <c r="J18" i="13"/>
  <c r="J19" i="13"/>
  <c r="J12" i="13"/>
  <c r="J13" i="13"/>
  <c r="J11" i="13"/>
  <c r="H11" i="13"/>
  <c r="U47" i="25" l="1"/>
  <c r="U43" i="25"/>
  <c r="U42" i="25"/>
  <c r="U54" i="25"/>
  <c r="U53" i="25"/>
  <c r="U49" i="25"/>
  <c r="U50" i="25"/>
  <c r="U45" i="25"/>
  <c r="U38" i="25"/>
  <c r="U34" i="25"/>
  <c r="U41" i="25"/>
  <c r="U46" i="25"/>
  <c r="U40" i="25"/>
  <c r="U44" i="25"/>
  <c r="U36" i="25"/>
  <c r="U39" i="25"/>
  <c r="U37" i="25"/>
  <c r="U35" i="25"/>
  <c r="U32" i="25"/>
  <c r="U31" i="25"/>
  <c r="U33" i="25"/>
  <c r="U30" i="25"/>
  <c r="U27" i="25"/>
  <c r="U26" i="25"/>
  <c r="U23" i="25"/>
  <c r="U25" i="25"/>
  <c r="U29" i="25"/>
  <c r="U28" i="25"/>
  <c r="U24" i="25"/>
  <c r="U21" i="25"/>
  <c r="U22" i="25"/>
  <c r="U19" i="25"/>
  <c r="U18" i="25"/>
  <c r="U20" i="25"/>
  <c r="U16" i="25"/>
  <c r="U15" i="25"/>
  <c r="U13" i="25"/>
  <c r="U12" i="25"/>
  <c r="U17" i="25"/>
  <c r="U11" i="25"/>
  <c r="U14" i="25"/>
  <c r="U33" i="9"/>
  <c r="U32" i="9"/>
  <c r="U31" i="9"/>
  <c r="U29" i="9"/>
  <c r="U30" i="9"/>
  <c r="U27" i="9"/>
  <c r="U24" i="9"/>
  <c r="U23" i="9"/>
  <c r="U26" i="9"/>
  <c r="U20" i="9"/>
  <c r="U25" i="9"/>
  <c r="U28" i="9"/>
  <c r="U21" i="9"/>
  <c r="U18" i="9"/>
  <c r="U22" i="9"/>
  <c r="U19" i="9"/>
  <c r="U15" i="9"/>
  <c r="U17" i="9"/>
  <c r="U16" i="9"/>
  <c r="U12" i="9"/>
  <c r="U14" i="9"/>
  <c r="U13" i="9"/>
  <c r="U11" i="9"/>
  <c r="T33" i="31" l="1"/>
  <c r="T17" i="31"/>
  <c r="T32" i="31"/>
  <c r="T18" i="31"/>
  <c r="T27" i="31"/>
  <c r="T19" i="31"/>
  <c r="T23" i="31"/>
  <c r="T16" i="31"/>
  <c r="T20" i="31"/>
  <c r="T15" i="31"/>
  <c r="T14" i="31"/>
  <c r="T13" i="31"/>
  <c r="T12" i="31"/>
  <c r="T11" i="31"/>
  <c r="R18" i="2"/>
  <c r="R15" i="2"/>
  <c r="R16" i="2"/>
  <c r="R19" i="2"/>
  <c r="R17" i="2"/>
  <c r="R14" i="2"/>
  <c r="R13" i="2"/>
  <c r="R12" i="2"/>
  <c r="R11" i="2"/>
  <c r="N51" i="24" l="1"/>
  <c r="N50" i="24"/>
  <c r="N49" i="24"/>
  <c r="N48" i="24"/>
  <c r="N46" i="24"/>
  <c r="N45" i="24"/>
  <c r="N44" i="24"/>
  <c r="N42" i="24"/>
  <c r="N41" i="24"/>
  <c r="N39" i="24"/>
  <c r="N38" i="24"/>
  <c r="N35" i="24"/>
  <c r="N33" i="24"/>
  <c r="N32" i="24"/>
  <c r="N29" i="24"/>
  <c r="N27" i="24"/>
  <c r="N23" i="24"/>
  <c r="N22" i="24"/>
  <c r="N20" i="24"/>
  <c r="N30" i="24"/>
  <c r="N28" i="24"/>
  <c r="N47" i="24"/>
  <c r="N43" i="24"/>
  <c r="N24" i="24"/>
  <c r="N40" i="24"/>
  <c r="N19" i="24"/>
  <c r="N21" i="24"/>
  <c r="N37" i="24"/>
  <c r="N36" i="24"/>
  <c r="N34" i="24"/>
  <c r="N31" i="24"/>
  <c r="N26" i="24"/>
  <c r="N25" i="24"/>
  <c r="N17" i="24"/>
  <c r="N14" i="24"/>
  <c r="N16" i="24"/>
  <c r="N12" i="24"/>
  <c r="N15" i="24"/>
  <c r="N13" i="24"/>
  <c r="N11" i="24"/>
  <c r="N18" i="24"/>
  <c r="J16" i="26"/>
  <c r="J24" i="26"/>
  <c r="J23" i="26"/>
  <c r="J22" i="26"/>
  <c r="J21" i="26"/>
  <c r="J20" i="26"/>
  <c r="J19" i="26"/>
  <c r="J18" i="26"/>
  <c r="J17" i="26"/>
  <c r="J15" i="26"/>
  <c r="J14" i="26"/>
  <c r="J12" i="26"/>
  <c r="J11" i="26"/>
  <c r="J13" i="26"/>
  <c r="J54" i="29"/>
  <c r="P58" i="29"/>
  <c r="W54" i="29"/>
  <c r="W53" i="29"/>
  <c r="V53" i="29"/>
  <c r="P57" i="29"/>
  <c r="U57" i="29" s="1"/>
  <c r="P52" i="29"/>
  <c r="U52" i="29" s="1"/>
  <c r="P50" i="29"/>
  <c r="U50" i="29" s="1"/>
  <c r="P47" i="29"/>
  <c r="W52" i="29"/>
  <c r="V52" i="29"/>
  <c r="P48" i="29"/>
  <c r="P44" i="29"/>
  <c r="P46" i="29"/>
  <c r="P39" i="29"/>
  <c r="P53" i="29"/>
  <c r="P32" i="29"/>
  <c r="P55" i="29"/>
  <c r="P51" i="29"/>
  <c r="P38" i="29"/>
  <c r="P49" i="29"/>
  <c r="P41" i="29"/>
  <c r="P40" i="29"/>
  <c r="P43" i="29"/>
  <c r="P22" i="29"/>
  <c r="P54" i="29"/>
  <c r="P56" i="29"/>
  <c r="P35" i="29"/>
  <c r="P28" i="29"/>
  <c r="P42" i="29"/>
  <c r="P29" i="29"/>
  <c r="P25" i="29"/>
  <c r="P24" i="29"/>
  <c r="P30" i="29"/>
  <c r="P27" i="29"/>
  <c r="P33" i="29"/>
  <c r="P36" i="29"/>
  <c r="P31" i="29"/>
  <c r="P19" i="29"/>
  <c r="P23" i="29"/>
  <c r="P26" i="29"/>
  <c r="P20" i="29"/>
  <c r="P21" i="29"/>
  <c r="P17" i="29"/>
  <c r="P18" i="29"/>
  <c r="P16" i="29"/>
  <c r="P14" i="29"/>
  <c r="P15" i="29"/>
  <c r="P12" i="29"/>
  <c r="P13" i="29"/>
  <c r="P11" i="29"/>
  <c r="R15" i="7" l="1"/>
  <c r="R22" i="7"/>
  <c r="R21" i="7"/>
  <c r="R20" i="7"/>
  <c r="R16" i="7"/>
  <c r="R19" i="7"/>
  <c r="R17" i="7"/>
  <c r="R18" i="7"/>
  <c r="R12" i="7"/>
  <c r="R14" i="7"/>
  <c r="R13" i="7"/>
  <c r="R11" i="7"/>
  <c r="R50" i="30"/>
  <c r="R49" i="30"/>
  <c r="R47" i="30"/>
  <c r="R46" i="30"/>
  <c r="R45" i="30"/>
  <c r="R44" i="30"/>
  <c r="R43" i="30"/>
  <c r="R32" i="30"/>
  <c r="R41" i="30"/>
  <c r="R40" i="30"/>
  <c r="R39" i="30"/>
  <c r="R34" i="30"/>
  <c r="R38" i="30"/>
  <c r="R37" i="30"/>
  <c r="R36" i="30"/>
  <c r="R31" i="30"/>
  <c r="R33" i="30"/>
  <c r="R24" i="30"/>
  <c r="R30" i="30"/>
  <c r="R25" i="30"/>
  <c r="R29" i="30"/>
  <c r="R23" i="30"/>
  <c r="R26" i="30"/>
  <c r="R28" i="30"/>
  <c r="R22" i="30"/>
  <c r="R27" i="30"/>
  <c r="R16" i="30"/>
  <c r="R19" i="30"/>
  <c r="R21" i="30"/>
  <c r="R18" i="30"/>
  <c r="R20" i="30"/>
  <c r="R15" i="30"/>
  <c r="R17" i="30"/>
  <c r="R11" i="30"/>
  <c r="R12" i="30"/>
  <c r="R14" i="30"/>
  <c r="R13" i="30"/>
  <c r="P28" i="35" l="1"/>
  <c r="P25" i="35"/>
  <c r="P21" i="35"/>
  <c r="P18" i="35"/>
  <c r="P17" i="35"/>
  <c r="P32" i="35"/>
  <c r="P24" i="35"/>
  <c r="P31" i="35"/>
  <c r="P19" i="35"/>
  <c r="P23" i="35"/>
  <c r="P15" i="35"/>
  <c r="P27" i="35"/>
  <c r="P16" i="35"/>
  <c r="P12" i="35"/>
  <c r="P26" i="35"/>
  <c r="P13" i="35"/>
  <c r="P14" i="35"/>
  <c r="P22" i="35"/>
  <c r="P20" i="35"/>
  <c r="P11" i="35"/>
  <c r="N31" i="19" l="1"/>
  <c r="N47" i="19"/>
  <c r="N57" i="19"/>
  <c r="N82" i="19"/>
  <c r="N81" i="19"/>
  <c r="N73" i="19"/>
  <c r="N62" i="19"/>
  <c r="N78" i="19"/>
  <c r="N76" i="19"/>
  <c r="N75" i="19"/>
  <c r="N58" i="19"/>
  <c r="N71" i="19"/>
  <c r="N28" i="19"/>
  <c r="N70" i="19"/>
  <c r="N35" i="19"/>
  <c r="N69" i="19"/>
  <c r="N68" i="19"/>
  <c r="N26" i="19"/>
  <c r="N66" i="19"/>
  <c r="N65" i="19"/>
  <c r="N64" i="19"/>
  <c r="N61" i="19"/>
  <c r="N59" i="19"/>
  <c r="N32" i="19"/>
  <c r="N55" i="19"/>
  <c r="N41" i="19"/>
  <c r="N54" i="19"/>
  <c r="N52" i="19"/>
  <c r="N51" i="19"/>
  <c r="N50" i="19"/>
  <c r="N49" i="19"/>
  <c r="N48" i="19"/>
  <c r="N30" i="19"/>
  <c r="N33" i="19"/>
  <c r="N45" i="19"/>
  <c r="N44" i="19"/>
  <c r="N37" i="19"/>
  <c r="N27" i="19"/>
  <c r="N24" i="19"/>
  <c r="N23" i="19"/>
  <c r="N25" i="19"/>
  <c r="N17" i="19"/>
  <c r="N20" i="19"/>
  <c r="N21" i="19"/>
  <c r="N36" i="19"/>
  <c r="N34" i="19"/>
  <c r="N18" i="19"/>
  <c r="N29" i="19"/>
  <c r="N22" i="19"/>
  <c r="N16" i="19"/>
  <c r="N19" i="19"/>
  <c r="N11" i="19"/>
  <c r="N15" i="19"/>
  <c r="N14" i="19"/>
  <c r="N12" i="19"/>
  <c r="L13" i="19"/>
  <c r="Q26" i="9" l="1"/>
  <c r="Q20" i="9"/>
  <c r="Q25" i="9"/>
  <c r="Q28" i="9"/>
  <c r="Q18" i="9"/>
  <c r="Q21" i="9"/>
  <c r="Q17" i="9"/>
  <c r="Q22" i="9"/>
  <c r="Q16" i="9"/>
  <c r="Q19" i="9"/>
  <c r="Q15" i="9"/>
  <c r="Q12" i="9"/>
  <c r="Q13" i="9"/>
  <c r="Q14" i="9"/>
  <c r="Q11" i="9"/>
  <c r="Q47" i="25"/>
  <c r="Q43" i="25"/>
  <c r="Q42" i="25"/>
  <c r="Q54" i="25"/>
  <c r="Q53" i="25"/>
  <c r="Q49" i="25"/>
  <c r="Q50" i="25"/>
  <c r="Q45" i="25"/>
  <c r="Q44" i="25"/>
  <c r="Q37" i="25"/>
  <c r="Q38" i="25"/>
  <c r="Q34" i="25"/>
  <c r="Q41" i="25"/>
  <c r="Q46" i="25"/>
  <c r="Q40" i="25"/>
  <c r="Q32" i="25"/>
  <c r="Q35" i="25"/>
  <c r="Q36" i="25"/>
  <c r="Q39" i="25"/>
  <c r="Q33" i="25"/>
  <c r="Q31" i="25"/>
  <c r="Q23" i="25"/>
  <c r="Q30" i="25"/>
  <c r="Q27" i="25"/>
  <c r="Q26" i="25"/>
  <c r="Q25" i="25"/>
  <c r="Q24" i="25"/>
  <c r="Q29" i="25"/>
  <c r="Q22" i="25"/>
  <c r="Q28" i="25"/>
  <c r="Q20" i="25"/>
  <c r="Q21" i="25"/>
  <c r="Q18" i="25"/>
  <c r="Q16" i="25"/>
  <c r="Q15" i="25"/>
  <c r="Q19" i="25"/>
  <c r="Q13" i="25"/>
  <c r="Q17" i="25"/>
  <c r="Q14" i="25"/>
  <c r="Q12" i="25"/>
  <c r="Q11" i="25"/>
  <c r="P50" i="30" l="1"/>
  <c r="P49" i="30"/>
  <c r="P47" i="30"/>
  <c r="P46" i="30"/>
  <c r="P45" i="30"/>
  <c r="P44" i="30"/>
  <c r="P43" i="30"/>
  <c r="P41" i="30"/>
  <c r="P40" i="30"/>
  <c r="P39" i="30"/>
  <c r="P34" i="30"/>
  <c r="P38" i="30"/>
  <c r="P37" i="30"/>
  <c r="P36" i="30"/>
  <c r="P31" i="30"/>
  <c r="P33" i="30"/>
  <c r="P27" i="30"/>
  <c r="P24" i="30"/>
  <c r="P30" i="30"/>
  <c r="P28" i="30"/>
  <c r="P25" i="30"/>
  <c r="P29" i="30"/>
  <c r="P23" i="30"/>
  <c r="P21" i="30"/>
  <c r="P18" i="30"/>
  <c r="P26" i="30"/>
  <c r="P19" i="30"/>
  <c r="P22" i="30"/>
  <c r="P16" i="30"/>
  <c r="P15" i="30"/>
  <c r="P17" i="30"/>
  <c r="P20" i="30"/>
  <c r="P12" i="30"/>
  <c r="P14" i="30"/>
  <c r="P11" i="30"/>
  <c r="P13" i="30"/>
  <c r="N22" i="7"/>
  <c r="N21" i="7"/>
  <c r="N20" i="7"/>
  <c r="N16" i="7"/>
  <c r="N17" i="7"/>
  <c r="N19" i="7"/>
  <c r="N18" i="7"/>
  <c r="N12" i="7"/>
  <c r="N15" i="7"/>
  <c r="N13" i="7"/>
  <c r="N11" i="7"/>
  <c r="N24" i="34" l="1"/>
  <c r="N23" i="34"/>
  <c r="N22" i="34"/>
  <c r="N21" i="34"/>
  <c r="N20" i="34"/>
  <c r="N19" i="34"/>
  <c r="N18" i="34"/>
  <c r="N17" i="34"/>
  <c r="N16" i="34"/>
  <c r="N12" i="34"/>
  <c r="N14" i="34"/>
  <c r="N13" i="34"/>
  <c r="N15" i="34"/>
  <c r="N11" i="34"/>
  <c r="L11" i="35" l="1"/>
  <c r="J30" i="28" l="1"/>
  <c r="J22" i="28"/>
  <c r="J27" i="28"/>
  <c r="J25" i="28"/>
  <c r="J20" i="28"/>
  <c r="J31" i="28"/>
  <c r="J29" i="28"/>
  <c r="J21" i="28"/>
  <c r="J26" i="28"/>
  <c r="J18" i="28"/>
  <c r="J24" i="28"/>
  <c r="J32" i="28"/>
  <c r="J19" i="28"/>
  <c r="J16" i="28"/>
  <c r="J14" i="28"/>
  <c r="J23" i="28"/>
  <c r="J13" i="28"/>
  <c r="J15" i="28"/>
  <c r="J11" i="28"/>
  <c r="J12" i="28"/>
  <c r="N58" i="29"/>
  <c r="N48" i="29"/>
  <c r="N47" i="29"/>
  <c r="N44" i="29"/>
  <c r="N46" i="29"/>
  <c r="N39" i="29"/>
  <c r="N53" i="29"/>
  <c r="N32" i="29"/>
  <c r="N55" i="29"/>
  <c r="N51" i="29"/>
  <c r="N38" i="29"/>
  <c r="N49" i="29"/>
  <c r="N41" i="29"/>
  <c r="N40" i="29"/>
  <c r="N43" i="29"/>
  <c r="N22" i="29"/>
  <c r="N54" i="29"/>
  <c r="N56" i="29"/>
  <c r="N35" i="29"/>
  <c r="N28" i="29"/>
  <c r="N42" i="29"/>
  <c r="N29" i="29"/>
  <c r="N25" i="29"/>
  <c r="N24" i="29"/>
  <c r="N30" i="29"/>
  <c r="N27" i="29"/>
  <c r="N33" i="29"/>
  <c r="N36" i="29"/>
  <c r="N31" i="29"/>
  <c r="N19" i="29"/>
  <c r="N23" i="29"/>
  <c r="N26" i="29"/>
  <c r="N20" i="29"/>
  <c r="N21" i="29"/>
  <c r="N17" i="29"/>
  <c r="N18" i="29"/>
  <c r="N16" i="29"/>
  <c r="N14" i="29"/>
  <c r="N15" i="29"/>
  <c r="N12" i="29"/>
  <c r="N13" i="29"/>
  <c r="N11" i="29"/>
  <c r="L22" i="7"/>
  <c r="W22" i="7" s="1"/>
  <c r="X21" i="7"/>
  <c r="L21" i="7"/>
  <c r="L17" i="7"/>
  <c r="L16" i="7"/>
  <c r="L20" i="7"/>
  <c r="L19" i="7"/>
  <c r="L18" i="7"/>
  <c r="L12" i="7"/>
  <c r="L15" i="7"/>
  <c r="L13" i="7"/>
  <c r="L14" i="7"/>
  <c r="L11" i="7"/>
  <c r="M51" i="30"/>
  <c r="N30" i="30"/>
  <c r="N44" i="30"/>
  <c r="N43" i="30"/>
  <c r="Y50" i="30"/>
  <c r="X50" i="30"/>
  <c r="A50" i="30" s="1"/>
  <c r="V32" i="30"/>
  <c r="P32" i="30"/>
  <c r="N32" i="30"/>
  <c r="L32" i="30"/>
  <c r="J32" i="30"/>
  <c r="H32" i="30"/>
  <c r="F32" i="30"/>
  <c r="Y46" i="30"/>
  <c r="X46" i="30"/>
  <c r="A46" i="30" s="1"/>
  <c r="V50" i="30"/>
  <c r="N50" i="30"/>
  <c r="L50" i="30"/>
  <c r="J50" i="30"/>
  <c r="H50" i="30"/>
  <c r="F50" i="30"/>
  <c r="Y45" i="30"/>
  <c r="X45" i="30"/>
  <c r="A45" i="30" s="1"/>
  <c r="V49" i="30"/>
  <c r="N49" i="30"/>
  <c r="L49" i="30"/>
  <c r="J49" i="30"/>
  <c r="H49" i="30"/>
  <c r="F49" i="30"/>
  <c r="Y44" i="30"/>
  <c r="X44" i="30"/>
  <c r="A44" i="30" s="1"/>
  <c r="V41" i="30"/>
  <c r="N41" i="30"/>
  <c r="L41" i="30"/>
  <c r="J41" i="30"/>
  <c r="H41" i="30"/>
  <c r="F41" i="30"/>
  <c r="Y43" i="30"/>
  <c r="X43" i="30"/>
  <c r="A43" i="30" s="1"/>
  <c r="V36" i="30"/>
  <c r="N36" i="30"/>
  <c r="L36" i="30"/>
  <c r="J36" i="30"/>
  <c r="H36" i="30"/>
  <c r="F36" i="30"/>
  <c r="Y42" i="30"/>
  <c r="X42" i="30"/>
  <c r="A42" i="30" s="1"/>
  <c r="V47" i="30"/>
  <c r="N47" i="30"/>
  <c r="L47" i="30"/>
  <c r="J47" i="30"/>
  <c r="H47" i="30"/>
  <c r="F47" i="30"/>
  <c r="Y41" i="30"/>
  <c r="X41" i="30"/>
  <c r="A41" i="30" s="1"/>
  <c r="V46" i="30"/>
  <c r="N46" i="30"/>
  <c r="L46" i="30"/>
  <c r="J46" i="30"/>
  <c r="H46" i="30"/>
  <c r="F46" i="30"/>
  <c r="Y40" i="30"/>
  <c r="X40" i="30"/>
  <c r="A40" i="30" s="1"/>
  <c r="V45" i="30"/>
  <c r="N45" i="30"/>
  <c r="L45" i="30"/>
  <c r="J45" i="30"/>
  <c r="H45" i="30"/>
  <c r="F45" i="30"/>
  <c r="Y39" i="30"/>
  <c r="X39" i="30"/>
  <c r="A39" i="30" s="1"/>
  <c r="V38" i="30"/>
  <c r="N38" i="30"/>
  <c r="L38" i="30"/>
  <c r="J38" i="30"/>
  <c r="H38" i="30"/>
  <c r="F38" i="30"/>
  <c r="Y38" i="30"/>
  <c r="X38" i="30"/>
  <c r="A38" i="30" s="1"/>
  <c r="V30" i="30"/>
  <c r="L30" i="30"/>
  <c r="J30" i="30"/>
  <c r="H30" i="30"/>
  <c r="F30" i="30"/>
  <c r="Y37" i="30"/>
  <c r="X37" i="30"/>
  <c r="A37" i="30" s="1"/>
  <c r="V44" i="30"/>
  <c r="L44" i="30"/>
  <c r="J44" i="30"/>
  <c r="H44" i="30"/>
  <c r="F44" i="30"/>
  <c r="Y36" i="30"/>
  <c r="X36" i="30"/>
  <c r="A36" i="30" s="1"/>
  <c r="V43" i="30"/>
  <c r="L43" i="30"/>
  <c r="J43" i="30"/>
  <c r="H43" i="30"/>
  <c r="F43" i="30"/>
  <c r="N40" i="30"/>
  <c r="N31" i="30"/>
  <c r="N33" i="30"/>
  <c r="N34" i="30"/>
  <c r="N39" i="30"/>
  <c r="N37" i="30"/>
  <c r="N24" i="30"/>
  <c r="N27" i="30"/>
  <c r="N28" i="30"/>
  <c r="N18" i="30"/>
  <c r="N29" i="30"/>
  <c r="N26" i="30"/>
  <c r="N22" i="30"/>
  <c r="N21" i="30"/>
  <c r="N19" i="30"/>
  <c r="N25" i="30"/>
  <c r="N23" i="30"/>
  <c r="N16" i="30"/>
  <c r="N17" i="30"/>
  <c r="N15" i="30"/>
  <c r="N20" i="30"/>
  <c r="N14" i="30"/>
  <c r="N11" i="30"/>
  <c r="N12" i="30"/>
  <c r="N13" i="30"/>
  <c r="W38" i="30" l="1"/>
  <c r="W45" i="30"/>
  <c r="W46" i="30"/>
  <c r="W47" i="30"/>
  <c r="W36" i="30"/>
  <c r="W41" i="30"/>
  <c r="W49" i="30"/>
  <c r="W50" i="30"/>
  <c r="W32" i="30"/>
  <c r="W30" i="30"/>
  <c r="W44" i="30"/>
  <c r="W43" i="30"/>
  <c r="AD13" i="35"/>
  <c r="AD20" i="35"/>
  <c r="AD19" i="35"/>
  <c r="J33" i="35"/>
  <c r="J30" i="35"/>
  <c r="J29" i="35"/>
  <c r="J28" i="35"/>
  <c r="J25" i="35"/>
  <c r="J21" i="35"/>
  <c r="J18" i="35"/>
  <c r="J17" i="35"/>
  <c r="J32" i="35"/>
  <c r="J24" i="35"/>
  <c r="J31" i="35"/>
  <c r="J19" i="35"/>
  <c r="J23" i="35"/>
  <c r="J15" i="35"/>
  <c r="J27" i="35"/>
  <c r="J16" i="35"/>
  <c r="J12" i="35"/>
  <c r="J26" i="35"/>
  <c r="J13" i="35"/>
  <c r="J14" i="35"/>
  <c r="J22" i="35"/>
  <c r="J20" i="35"/>
  <c r="J11" i="35"/>
  <c r="K83" i="19"/>
  <c r="Z82" i="19"/>
  <c r="V31" i="19"/>
  <c r="P31" i="19"/>
  <c r="L31" i="19"/>
  <c r="J31" i="19"/>
  <c r="H31" i="19"/>
  <c r="F31" i="19"/>
  <c r="Z65" i="19"/>
  <c r="V47" i="19"/>
  <c r="P47" i="19"/>
  <c r="L47" i="19"/>
  <c r="J47" i="19"/>
  <c r="H47" i="19"/>
  <c r="F47" i="19"/>
  <c r="Z64" i="19"/>
  <c r="V57" i="19"/>
  <c r="P57" i="19"/>
  <c r="L57" i="19"/>
  <c r="J57" i="19"/>
  <c r="H57" i="19"/>
  <c r="F57" i="19"/>
  <c r="Z63" i="19"/>
  <c r="V82" i="19"/>
  <c r="P82" i="19"/>
  <c r="L82" i="19"/>
  <c r="J82" i="19"/>
  <c r="H82" i="19"/>
  <c r="F82" i="19"/>
  <c r="Z62" i="19"/>
  <c r="V81" i="19"/>
  <c r="P81" i="19"/>
  <c r="L81" i="19"/>
  <c r="J81" i="19"/>
  <c r="H81" i="19"/>
  <c r="F81" i="19"/>
  <c r="Z61" i="19"/>
  <c r="V73" i="19"/>
  <c r="P73" i="19"/>
  <c r="L73" i="19"/>
  <c r="J73" i="19"/>
  <c r="H73" i="19"/>
  <c r="F73" i="19"/>
  <c r="Z60" i="19"/>
  <c r="V62" i="19"/>
  <c r="P62" i="19"/>
  <c r="L62" i="19"/>
  <c r="J62" i="19"/>
  <c r="H62" i="19"/>
  <c r="F62" i="19"/>
  <c r="Z59" i="19"/>
  <c r="V78" i="19"/>
  <c r="P78" i="19"/>
  <c r="L78" i="19"/>
  <c r="J78" i="19"/>
  <c r="H78" i="19"/>
  <c r="F78" i="19"/>
  <c r="Z58" i="19"/>
  <c r="V76" i="19"/>
  <c r="P76" i="19"/>
  <c r="L76" i="19"/>
  <c r="J76" i="19"/>
  <c r="H76" i="19"/>
  <c r="F76" i="19"/>
  <c r="Z57" i="19"/>
  <c r="V75" i="19"/>
  <c r="P75" i="19"/>
  <c r="L75" i="19"/>
  <c r="J75" i="19"/>
  <c r="H75" i="19"/>
  <c r="F75" i="19"/>
  <c r="Z56" i="19"/>
  <c r="V58" i="19"/>
  <c r="P58" i="19"/>
  <c r="L58" i="19"/>
  <c r="J58" i="19"/>
  <c r="H58" i="19"/>
  <c r="F58" i="19"/>
  <c r="Z55" i="19"/>
  <c r="V71" i="19"/>
  <c r="P71" i="19"/>
  <c r="L71" i="19"/>
  <c r="J71" i="19"/>
  <c r="H71" i="19"/>
  <c r="F71" i="19"/>
  <c r="Z54" i="19"/>
  <c r="V70" i="19"/>
  <c r="P70" i="19"/>
  <c r="L70" i="19"/>
  <c r="J70" i="19"/>
  <c r="H70" i="19"/>
  <c r="F70" i="19"/>
  <c r="L37" i="19"/>
  <c r="L27" i="19"/>
  <c r="Z53" i="19"/>
  <c r="V69" i="19"/>
  <c r="P69" i="19"/>
  <c r="L69" i="19"/>
  <c r="J69" i="19"/>
  <c r="H69" i="19"/>
  <c r="F69" i="19"/>
  <c r="Z52" i="19"/>
  <c r="V68" i="19"/>
  <c r="P68" i="19"/>
  <c r="L68" i="19"/>
  <c r="J68" i="19"/>
  <c r="H68" i="19"/>
  <c r="F68" i="19"/>
  <c r="Z51" i="19"/>
  <c r="V66" i="19"/>
  <c r="P66" i="19"/>
  <c r="L66" i="19"/>
  <c r="J66" i="19"/>
  <c r="H66" i="19"/>
  <c r="F66" i="19"/>
  <c r="Z50" i="19"/>
  <c r="V65" i="19"/>
  <c r="P65" i="19"/>
  <c r="L65" i="19"/>
  <c r="J65" i="19"/>
  <c r="H65" i="19"/>
  <c r="F65" i="19"/>
  <c r="Z49" i="19"/>
  <c r="V61" i="19"/>
  <c r="P61" i="19"/>
  <c r="L61" i="19"/>
  <c r="J61" i="19"/>
  <c r="H61" i="19"/>
  <c r="F61" i="19"/>
  <c r="Z48" i="19"/>
  <c r="V59" i="19"/>
  <c r="P59" i="19"/>
  <c r="L59" i="19"/>
  <c r="J59" i="19"/>
  <c r="H59" i="19"/>
  <c r="F59" i="19"/>
  <c r="Z47" i="19"/>
  <c r="V32" i="19"/>
  <c r="P32" i="19"/>
  <c r="L32" i="19"/>
  <c r="J32" i="19"/>
  <c r="H32" i="19"/>
  <c r="F32" i="19"/>
  <c r="Z46" i="19"/>
  <c r="V55" i="19"/>
  <c r="P55" i="19"/>
  <c r="L55" i="19"/>
  <c r="J55" i="19"/>
  <c r="H55" i="19"/>
  <c r="F55" i="19"/>
  <c r="Z45" i="19"/>
  <c r="V41" i="19"/>
  <c r="P41" i="19"/>
  <c r="L41" i="19"/>
  <c r="J41" i="19"/>
  <c r="H41" i="19"/>
  <c r="F41" i="19"/>
  <c r="Z44" i="19"/>
  <c r="V54" i="19"/>
  <c r="P54" i="19"/>
  <c r="L54" i="19"/>
  <c r="J54" i="19"/>
  <c r="H54" i="19"/>
  <c r="F54" i="19"/>
  <c r="Z43" i="19"/>
  <c r="V52" i="19"/>
  <c r="P52" i="19"/>
  <c r="L52" i="19"/>
  <c r="J52" i="19"/>
  <c r="H52" i="19"/>
  <c r="F52" i="19"/>
  <c r="Z42" i="19"/>
  <c r="V51" i="19"/>
  <c r="P51" i="19"/>
  <c r="L51" i="19"/>
  <c r="J51" i="19"/>
  <c r="H51" i="19"/>
  <c r="F51" i="19"/>
  <c r="Z41" i="19"/>
  <c r="V50" i="19"/>
  <c r="P50" i="19"/>
  <c r="L50" i="19"/>
  <c r="J50" i="19"/>
  <c r="H50" i="19"/>
  <c r="F50" i="19"/>
  <c r="Z40" i="19"/>
  <c r="V49" i="19"/>
  <c r="P49" i="19"/>
  <c r="L49" i="19"/>
  <c r="J49" i="19"/>
  <c r="H49" i="19"/>
  <c r="F49" i="19"/>
  <c r="Z39" i="19"/>
  <c r="V48" i="19"/>
  <c r="P48" i="19"/>
  <c r="L48" i="19"/>
  <c r="J48" i="19"/>
  <c r="H48" i="19"/>
  <c r="F48" i="19"/>
  <c r="Z38" i="19"/>
  <c r="V30" i="19"/>
  <c r="P30" i="19"/>
  <c r="L30" i="19"/>
  <c r="J30" i="19"/>
  <c r="H30" i="19"/>
  <c r="F30" i="19"/>
  <c r="Z37" i="19"/>
  <c r="V33" i="19"/>
  <c r="P33" i="19"/>
  <c r="L33" i="19"/>
  <c r="J33" i="19"/>
  <c r="H33" i="19"/>
  <c r="F33" i="19"/>
  <c r="Z36" i="19"/>
  <c r="V45" i="19"/>
  <c r="P45" i="19"/>
  <c r="L45" i="19"/>
  <c r="J45" i="19"/>
  <c r="H45" i="19"/>
  <c r="F45" i="19"/>
  <c r="Z35" i="19"/>
  <c r="V37" i="19"/>
  <c r="P37" i="19"/>
  <c r="J37" i="19"/>
  <c r="H37" i="19"/>
  <c r="F37" i="19"/>
  <c r="Z34" i="19"/>
  <c r="V27" i="19"/>
  <c r="P27" i="19"/>
  <c r="J27" i="19"/>
  <c r="H27" i="19"/>
  <c r="F27" i="19"/>
  <c r="Z33" i="19"/>
  <c r="Z32" i="19"/>
  <c r="Z31" i="19"/>
  <c r="Z30" i="19"/>
  <c r="Z29" i="19"/>
  <c r="Z28" i="19"/>
  <c r="Z27" i="19"/>
  <c r="Z26" i="19"/>
  <c r="Z25" i="19"/>
  <c r="Z24" i="19"/>
  <c r="L24" i="19"/>
  <c r="L23" i="19"/>
  <c r="L25" i="19"/>
  <c r="L17" i="19"/>
  <c r="L20" i="19"/>
  <c r="L21" i="19"/>
  <c r="L36" i="19"/>
  <c r="L34" i="19"/>
  <c r="L18" i="19"/>
  <c r="L29" i="19"/>
  <c r="L28" i="19"/>
  <c r="L35" i="19"/>
  <c r="L26" i="19"/>
  <c r="L64" i="19"/>
  <c r="L22" i="19"/>
  <c r="L44" i="19"/>
  <c r="L19" i="19"/>
  <c r="L11" i="19"/>
  <c r="L16" i="19"/>
  <c r="L15" i="19"/>
  <c r="L14" i="19"/>
  <c r="L12" i="19"/>
  <c r="Y70" i="19" l="1"/>
  <c r="Y71" i="19"/>
  <c r="Y58" i="19"/>
  <c r="Y75" i="19"/>
  <c r="Y76" i="19"/>
  <c r="Y78" i="19"/>
  <c r="Y62" i="19"/>
  <c r="Y73" i="19"/>
  <c r="Y81" i="19"/>
  <c r="Y82" i="19"/>
  <c r="Y57" i="19"/>
  <c r="Y47" i="19"/>
  <c r="Y45" i="19"/>
  <c r="Y33" i="19"/>
  <c r="Y37" i="19"/>
  <c r="Y27" i="19"/>
  <c r="Y31" i="19"/>
  <c r="Y30" i="19"/>
  <c r="Y48" i="19"/>
  <c r="Y49" i="19"/>
  <c r="Y50" i="19"/>
  <c r="Y51" i="19"/>
  <c r="Y52" i="19"/>
  <c r="Y54" i="19"/>
  <c r="Y41" i="19"/>
  <c r="Y55" i="19"/>
  <c r="Y32" i="19"/>
  <c r="Y59" i="19"/>
  <c r="Y61" i="19"/>
  <c r="Y65" i="19"/>
  <c r="Y66" i="19"/>
  <c r="Y68" i="19"/>
  <c r="Y69" i="19"/>
  <c r="J33" i="34"/>
  <c r="J32" i="34"/>
  <c r="J31" i="34"/>
  <c r="J30" i="34"/>
  <c r="J29" i="34"/>
  <c r="J28" i="34"/>
  <c r="J27" i="34"/>
  <c r="J26" i="34"/>
  <c r="J25" i="34"/>
  <c r="J24" i="34"/>
  <c r="J23" i="34"/>
  <c r="J22" i="34"/>
  <c r="J21" i="34"/>
  <c r="J20" i="34"/>
  <c r="J19" i="34"/>
  <c r="J18" i="34"/>
  <c r="J17" i="34"/>
  <c r="J12" i="34"/>
  <c r="J16" i="34"/>
  <c r="J13" i="34"/>
  <c r="J14" i="34"/>
  <c r="J15" i="34"/>
  <c r="J11" i="34"/>
  <c r="N37" i="36"/>
  <c r="Y37" i="36" s="1"/>
  <c r="N24" i="36"/>
  <c r="Y24" i="36" s="1"/>
  <c r="Z40" i="36"/>
  <c r="Z39" i="36"/>
  <c r="N27" i="36"/>
  <c r="Y27" i="36" s="1"/>
  <c r="Z38" i="36"/>
  <c r="L22" i="36"/>
  <c r="Z48" i="36"/>
  <c r="N20" i="36"/>
  <c r="N47" i="36"/>
  <c r="N23" i="36"/>
  <c r="N35" i="36"/>
  <c r="N33" i="36"/>
  <c r="N46" i="36"/>
  <c r="N41" i="36"/>
  <c r="N45" i="36"/>
  <c r="N36" i="36"/>
  <c r="N29" i="36"/>
  <c r="N44" i="36"/>
  <c r="N31" i="36"/>
  <c r="N30" i="36"/>
  <c r="N34" i="36"/>
  <c r="N28" i="36"/>
  <c r="N21" i="36"/>
  <c r="N22" i="36"/>
  <c r="N26" i="36"/>
  <c r="N38" i="36"/>
  <c r="N17" i="36"/>
  <c r="N14" i="36"/>
  <c r="N18" i="36"/>
  <c r="N15" i="36"/>
  <c r="N12" i="36"/>
  <c r="N19" i="36"/>
  <c r="N13" i="36"/>
  <c r="L33" i="31" l="1"/>
  <c r="L17" i="31"/>
  <c r="L32" i="31"/>
  <c r="L18" i="31"/>
  <c r="L27" i="31"/>
  <c r="L19" i="31"/>
  <c r="L23" i="31"/>
  <c r="L16" i="31"/>
  <c r="L20" i="31"/>
  <c r="L15" i="31"/>
  <c r="L14" i="31"/>
  <c r="L13" i="31"/>
  <c r="L12" i="31"/>
  <c r="L11" i="31"/>
  <c r="F11" i="31"/>
  <c r="J13" i="2"/>
  <c r="O31" i="9"/>
  <c r="O29" i="9"/>
  <c r="O30" i="9"/>
  <c r="O27" i="9"/>
  <c r="O24" i="9"/>
  <c r="O23" i="9"/>
  <c r="O26" i="9"/>
  <c r="O20" i="9"/>
  <c r="O25" i="9"/>
  <c r="O18" i="9"/>
  <c r="O21" i="9"/>
  <c r="O17" i="9"/>
  <c r="O22" i="9"/>
  <c r="O16" i="9"/>
  <c r="O19" i="9"/>
  <c r="O28" i="9"/>
  <c r="O15" i="9"/>
  <c r="O12" i="9"/>
  <c r="O13" i="9"/>
  <c r="O14" i="9"/>
  <c r="O11" i="9"/>
  <c r="O43" i="25"/>
  <c r="O42" i="25"/>
  <c r="O54" i="25"/>
  <c r="O50" i="25"/>
  <c r="O45" i="25"/>
  <c r="O44" i="25"/>
  <c r="O37" i="25"/>
  <c r="O34" i="25"/>
  <c r="O40" i="25"/>
  <c r="O32" i="25"/>
  <c r="O36" i="25"/>
  <c r="O33" i="25"/>
  <c r="O23" i="25"/>
  <c r="O53" i="25"/>
  <c r="O49" i="25"/>
  <c r="O46" i="25"/>
  <c r="O41" i="25"/>
  <c r="O39" i="25"/>
  <c r="O38" i="25"/>
  <c r="O31" i="25"/>
  <c r="O35" i="25"/>
  <c r="O30" i="25"/>
  <c r="O27" i="25"/>
  <c r="O24" i="25"/>
  <c r="O25" i="25"/>
  <c r="O26" i="25"/>
  <c r="O22" i="25"/>
  <c r="O29" i="25"/>
  <c r="O28" i="25"/>
  <c r="O21" i="25"/>
  <c r="O20" i="25"/>
  <c r="O15" i="25"/>
  <c r="O16" i="25"/>
  <c r="O18" i="25"/>
  <c r="O13" i="25"/>
  <c r="O17" i="25"/>
  <c r="O14" i="25"/>
  <c r="O19" i="25"/>
  <c r="O12" i="25"/>
  <c r="O11" i="25"/>
  <c r="L43" i="24" l="1"/>
  <c r="L30" i="24"/>
  <c r="L28" i="24"/>
  <c r="H11" i="27" l="1"/>
  <c r="H12" i="27"/>
  <c r="H13" i="27" s="1"/>
  <c r="H40" i="24"/>
  <c r="L47" i="24"/>
  <c r="L24" i="24"/>
  <c r="L19" i="24"/>
  <c r="L21" i="24"/>
  <c r="L37" i="24"/>
  <c r="L36" i="24"/>
  <c r="L34" i="24"/>
  <c r="L31" i="24"/>
  <c r="L26" i="24"/>
  <c r="L25" i="24"/>
  <c r="L17" i="24"/>
  <c r="L14" i="24"/>
  <c r="L16" i="24"/>
  <c r="L12" i="24"/>
  <c r="L15" i="24"/>
  <c r="L13" i="24"/>
  <c r="L11" i="24"/>
  <c r="L18" i="24"/>
  <c r="J55" i="24" l="1"/>
  <c r="J54" i="24"/>
  <c r="J53" i="24"/>
  <c r="J52" i="24"/>
  <c r="J51" i="24"/>
  <c r="J50" i="24"/>
  <c r="J49" i="24"/>
  <c r="J48" i="24"/>
  <c r="J46" i="24"/>
  <c r="J45" i="24"/>
  <c r="J44" i="24"/>
  <c r="J42" i="24"/>
  <c r="J41" i="24"/>
  <c r="J39" i="24"/>
  <c r="J38" i="24"/>
  <c r="J35" i="24"/>
  <c r="J33" i="24"/>
  <c r="J32" i="24"/>
  <c r="J29" i="24"/>
  <c r="J27" i="24"/>
  <c r="J23" i="24"/>
  <c r="J22" i="24"/>
  <c r="J20" i="24"/>
  <c r="J30" i="24"/>
  <c r="J28" i="24"/>
  <c r="J37" i="24"/>
  <c r="J21" i="24"/>
  <c r="J43" i="24"/>
  <c r="J47" i="24"/>
  <c r="J24" i="24"/>
  <c r="J34" i="24"/>
  <c r="J40" i="24"/>
  <c r="J19" i="24"/>
  <c r="J36" i="24"/>
  <c r="J16" i="24"/>
  <c r="J12" i="24"/>
  <c r="J11" i="24"/>
  <c r="J31" i="24"/>
  <c r="J26" i="24"/>
  <c r="J25" i="24"/>
  <c r="J18" i="24"/>
  <c r="J17" i="24"/>
  <c r="J13" i="24"/>
  <c r="J14" i="24"/>
  <c r="J15" i="24"/>
  <c r="I57" i="24"/>
  <c r="J56" i="24"/>
  <c r="H21" i="28"/>
  <c r="H26" i="28"/>
  <c r="H18" i="28"/>
  <c r="H24" i="28"/>
  <c r="H32" i="28"/>
  <c r="H12" i="28"/>
  <c r="H23" i="28"/>
  <c r="H16" i="28"/>
  <c r="H14" i="28"/>
  <c r="H11" i="28"/>
  <c r="H15" i="28"/>
  <c r="H13" i="28"/>
  <c r="H30" i="28"/>
  <c r="H22" i="28"/>
  <c r="H27" i="28"/>
  <c r="H25" i="28"/>
  <c r="H20" i="28"/>
  <c r="H34" i="28"/>
  <c r="H31" i="28"/>
  <c r="H29" i="28"/>
  <c r="L58" i="29"/>
  <c r="L48" i="29"/>
  <c r="L47" i="29"/>
  <c r="L44" i="29"/>
  <c r="L46" i="29"/>
  <c r="L39" i="29"/>
  <c r="L53" i="29"/>
  <c r="L32" i="29"/>
  <c r="L55" i="29"/>
  <c r="L51" i="29"/>
  <c r="L38" i="29"/>
  <c r="L49" i="29"/>
  <c r="L41" i="29"/>
  <c r="L40" i="29"/>
  <c r="L43" i="29"/>
  <c r="L22" i="29"/>
  <c r="L35" i="29"/>
  <c r="L54" i="29"/>
  <c r="L56" i="29"/>
  <c r="L28" i="29"/>
  <c r="L42" i="29"/>
  <c r="L29" i="29"/>
  <c r="L25" i="29"/>
  <c r="L21" i="29"/>
  <c r="L27" i="29"/>
  <c r="L24" i="29"/>
  <c r="L23" i="29"/>
  <c r="L30" i="29"/>
  <c r="L17" i="29"/>
  <c r="L36" i="29"/>
  <c r="L33" i="29"/>
  <c r="L20" i="29"/>
  <c r="L31" i="29"/>
  <c r="L19" i="29"/>
  <c r="L14" i="29"/>
  <c r="L26" i="29"/>
  <c r="L16" i="29"/>
  <c r="L15" i="29"/>
  <c r="L18" i="29"/>
  <c r="L13" i="29"/>
  <c r="L12" i="29"/>
  <c r="L11" i="29"/>
  <c r="K59" i="29"/>
  <c r="Q33" i="9"/>
  <c r="Q32" i="9"/>
  <c r="Q31" i="9"/>
  <c r="Q29" i="9"/>
  <c r="Q30" i="9"/>
  <c r="Q27" i="9"/>
  <c r="Q24" i="9"/>
  <c r="Q23" i="9"/>
  <c r="W18" i="25"/>
  <c r="W47" i="25"/>
  <c r="W43" i="25"/>
  <c r="W42" i="25"/>
  <c r="W54" i="25"/>
  <c r="W50" i="25"/>
  <c r="W45" i="25"/>
  <c r="W44" i="25"/>
  <c r="W37" i="25"/>
  <c r="W34" i="25"/>
  <c r="W40" i="25"/>
  <c r="W32" i="25"/>
  <c r="W36" i="25"/>
  <c r="W33" i="25"/>
  <c r="W23" i="25"/>
  <c r="W53" i="25"/>
  <c r="W49" i="25"/>
  <c r="W46" i="25"/>
  <c r="W41" i="25"/>
  <c r="W27" i="25"/>
  <c r="W39" i="25"/>
  <c r="W38" i="25"/>
  <c r="W31" i="25"/>
  <c r="W22" i="25"/>
  <c r="W24" i="25"/>
  <c r="W30" i="25"/>
  <c r="W21" i="25"/>
  <c r="W35" i="25"/>
  <c r="W28" i="25"/>
  <c r="W25" i="25"/>
  <c r="W26" i="25"/>
  <c r="W13" i="25"/>
  <c r="W17" i="25"/>
  <c r="W20" i="25"/>
  <c r="W29" i="25"/>
  <c r="W19" i="25"/>
  <c r="W15" i="25"/>
  <c r="W14" i="25"/>
  <c r="W12" i="25"/>
  <c r="J21" i="7"/>
  <c r="J19" i="7"/>
  <c r="J18" i="7"/>
  <c r="L13" i="30"/>
  <c r="H11" i="35"/>
  <c r="Z37" i="36" l="1"/>
  <c r="L33" i="36"/>
  <c r="Y33" i="36" s="1"/>
  <c r="Z36" i="36"/>
  <c r="L45" i="36"/>
  <c r="Y45" i="36" s="1"/>
  <c r="Z35" i="36"/>
  <c r="L36" i="36"/>
  <c r="Y36" i="36" s="1"/>
  <c r="Z34" i="36"/>
  <c r="L44" i="36"/>
  <c r="Y44" i="36" s="1"/>
  <c r="Z33" i="36"/>
  <c r="L34" i="36"/>
  <c r="Y34" i="36" s="1"/>
  <c r="Z32" i="36"/>
  <c r="Z31" i="36"/>
  <c r="Z30" i="36"/>
  <c r="Z29" i="36"/>
  <c r="Z28" i="36"/>
  <c r="Z27" i="36"/>
  <c r="L35" i="36"/>
  <c r="L46" i="36"/>
  <c r="L29" i="36"/>
  <c r="L31" i="36"/>
  <c r="L41" i="36"/>
  <c r="L38" i="36"/>
  <c r="L30" i="36"/>
  <c r="L28" i="36"/>
  <c r="L21" i="36"/>
  <c r="L26" i="36"/>
  <c r="L16" i="36"/>
  <c r="L17" i="36"/>
  <c r="L14" i="36"/>
  <c r="L18" i="36"/>
  <c r="L15" i="36"/>
  <c r="L12" i="36"/>
  <c r="L19" i="36"/>
  <c r="L13" i="36"/>
  <c r="Z26" i="36"/>
  <c r="Z25" i="36"/>
  <c r="J46" i="36"/>
  <c r="J29" i="36"/>
  <c r="J31" i="36"/>
  <c r="J41" i="36"/>
  <c r="J38" i="36"/>
  <c r="J19" i="36"/>
  <c r="J30" i="36"/>
  <c r="J28" i="36"/>
  <c r="J21" i="36"/>
  <c r="J22" i="36"/>
  <c r="J26" i="36"/>
  <c r="J16" i="36"/>
  <c r="J17" i="36"/>
  <c r="J13" i="36"/>
  <c r="J14" i="36"/>
  <c r="J18" i="36"/>
  <c r="J15" i="36"/>
  <c r="J12" i="36"/>
  <c r="H22" i="34"/>
  <c r="H21" i="34"/>
  <c r="H20" i="34"/>
  <c r="H19" i="34"/>
  <c r="H18" i="34"/>
  <c r="H17" i="34"/>
  <c r="H12" i="34"/>
  <c r="H16" i="34"/>
  <c r="H13" i="34"/>
  <c r="H14" i="34"/>
  <c r="H15" i="34"/>
  <c r="H11" i="34"/>
  <c r="Z23" i="19"/>
  <c r="Z22" i="19"/>
  <c r="Z21" i="19"/>
  <c r="H25" i="19"/>
  <c r="H17" i="19"/>
  <c r="H20" i="19"/>
  <c r="H21" i="19"/>
  <c r="H36" i="19"/>
  <c r="H34" i="19"/>
  <c r="H18" i="19"/>
  <c r="H29" i="19"/>
  <c r="H26" i="19"/>
  <c r="H64" i="19"/>
  <c r="H22" i="19"/>
  <c r="H28" i="19"/>
  <c r="H35" i="19"/>
  <c r="H44" i="19"/>
  <c r="H19" i="19"/>
  <c r="H13" i="19"/>
  <c r="H15" i="19"/>
  <c r="H16" i="19"/>
  <c r="H14" i="19"/>
  <c r="H12" i="19"/>
  <c r="H11" i="19"/>
  <c r="J17" i="31"/>
  <c r="J32" i="31"/>
  <c r="J18" i="31"/>
  <c r="J33" i="31"/>
  <c r="J27" i="31"/>
  <c r="J19" i="31"/>
  <c r="J14" i="31"/>
  <c r="J15" i="31"/>
  <c r="J23" i="31"/>
  <c r="J16" i="31"/>
  <c r="J20" i="31"/>
  <c r="J13" i="31"/>
  <c r="J11" i="31"/>
  <c r="J12" i="31"/>
  <c r="H12" i="2"/>
  <c r="H18" i="2"/>
  <c r="H15" i="2"/>
  <c r="H16" i="2"/>
  <c r="H19" i="2"/>
  <c r="H14" i="2"/>
  <c r="H17" i="2"/>
  <c r="H11" i="2"/>
  <c r="H13" i="2"/>
  <c r="J20" i="30"/>
  <c r="J12" i="30"/>
  <c r="H17" i="7"/>
  <c r="H21" i="7"/>
  <c r="H16" i="7"/>
  <c r="H19" i="7"/>
  <c r="H20" i="7"/>
  <c r="H15" i="7"/>
  <c r="H11" i="7"/>
  <c r="K18" i="25"/>
  <c r="K40" i="25"/>
  <c r="K32" i="25"/>
  <c r="K36" i="25"/>
  <c r="K33" i="25"/>
  <c r="K23" i="25"/>
  <c r="K53" i="25"/>
  <c r="K49" i="25"/>
  <c r="K46" i="25"/>
  <c r="K41" i="25"/>
  <c r="K27" i="25"/>
  <c r="K39" i="25"/>
  <c r="K28" i="25"/>
  <c r="K30" i="25"/>
  <c r="K38" i="25"/>
  <c r="K31" i="25"/>
  <c r="K22" i="25"/>
  <c r="K26" i="25"/>
  <c r="K24" i="25"/>
  <c r="K21" i="25"/>
  <c r="K35" i="25"/>
  <c r="K20" i="25"/>
  <c r="K17" i="25"/>
  <c r="K14" i="25"/>
  <c r="K12" i="25"/>
  <c r="K19" i="25"/>
  <c r="K25" i="25"/>
  <c r="K11" i="25"/>
  <c r="K16" i="25"/>
  <c r="K13" i="25"/>
  <c r="K29" i="25"/>
  <c r="K15" i="25"/>
  <c r="K47" i="25"/>
  <c r="K43" i="25"/>
  <c r="K42" i="25"/>
  <c r="K54" i="25"/>
  <c r="K50" i="25"/>
  <c r="K45" i="25"/>
  <c r="K44" i="25"/>
  <c r="K37" i="25"/>
  <c r="K34" i="25"/>
  <c r="K30" i="9"/>
  <c r="K27" i="9"/>
  <c r="K24" i="9"/>
  <c r="K23" i="9"/>
  <c r="K26" i="9"/>
  <c r="K20" i="9"/>
  <c r="K25" i="9"/>
  <c r="K18" i="9"/>
  <c r="K21" i="9"/>
  <c r="K17" i="9"/>
  <c r="K22" i="9"/>
  <c r="K16" i="9"/>
  <c r="K19" i="9"/>
  <c r="K28" i="9"/>
  <c r="K15" i="9"/>
  <c r="K14" i="9"/>
  <c r="K12" i="9"/>
  <c r="K11" i="9"/>
  <c r="K13" i="9"/>
  <c r="K32" i="9"/>
  <c r="K31" i="9"/>
  <c r="K29" i="9"/>
  <c r="H24" i="24"/>
  <c r="H13" i="13"/>
  <c r="H29" i="13"/>
  <c r="H26" i="13"/>
  <c r="F18" i="28"/>
  <c r="F32" i="28"/>
  <c r="F19" i="28"/>
  <c r="F12" i="28"/>
  <c r="F23" i="28"/>
  <c r="F16" i="28"/>
  <c r="F14" i="28"/>
  <c r="F11" i="28"/>
  <c r="F15" i="28"/>
  <c r="F13" i="28"/>
  <c r="J56" i="29"/>
  <c r="J21" i="29"/>
  <c r="J17" i="29"/>
  <c r="J31" i="29"/>
  <c r="J27" i="29"/>
  <c r="J12" i="29"/>
  <c r="J11" i="29"/>
  <c r="H20" i="29"/>
  <c r="H12" i="29"/>
  <c r="H13" i="29"/>
  <c r="H11" i="29"/>
  <c r="F16" i="34" l="1"/>
  <c r="F15" i="34"/>
  <c r="F11" i="34"/>
  <c r="F13" i="34"/>
  <c r="F14" i="34"/>
  <c r="X19" i="7" l="1"/>
  <c r="X18" i="7"/>
  <c r="F16" i="7"/>
  <c r="W16" i="7" s="1"/>
  <c r="F19" i="7"/>
  <c r="W19" i="7" s="1"/>
  <c r="F20" i="7"/>
  <c r="F11" i="7"/>
  <c r="H37" i="30"/>
  <c r="H24" i="30"/>
  <c r="H21" i="30"/>
  <c r="H16" i="30"/>
  <c r="H17" i="30"/>
  <c r="H19" i="30"/>
  <c r="H23" i="30"/>
  <c r="H25" i="30"/>
  <c r="F19" i="36" l="1"/>
  <c r="Y19" i="36" s="1"/>
  <c r="F28" i="36"/>
  <c r="Y28" i="36" s="1"/>
  <c r="F26" i="36"/>
  <c r="Y26" i="36" s="1"/>
  <c r="F13" i="36"/>
  <c r="Y13" i="36" s="1"/>
  <c r="F12" i="36"/>
  <c r="Y12" i="36" s="1"/>
  <c r="F15" i="36"/>
  <c r="Y15" i="36" s="1"/>
  <c r="Z20" i="19"/>
  <c r="Z19" i="19"/>
  <c r="Z18" i="19"/>
  <c r="G28" i="9" l="1"/>
  <c r="G15" i="9"/>
  <c r="G19" i="9"/>
  <c r="F13" i="13"/>
  <c r="F11" i="13"/>
  <c r="F26" i="13"/>
  <c r="F25" i="13"/>
  <c r="F29" i="13"/>
  <c r="F32" i="31"/>
  <c r="W32" i="31" s="1"/>
  <c r="X22" i="31"/>
  <c r="F18" i="31"/>
  <c r="W18" i="31" s="1"/>
  <c r="X21" i="31"/>
  <c r="AB33" i="35" l="1"/>
  <c r="AB30" i="35"/>
  <c r="AB29" i="35"/>
  <c r="AB28" i="35"/>
  <c r="AB25" i="35"/>
  <c r="AB21" i="35"/>
  <c r="AB18" i="35"/>
  <c r="AB17" i="35"/>
  <c r="AB32" i="35"/>
  <c r="AB24" i="35"/>
  <c r="AB31" i="35"/>
  <c r="AB19" i="35"/>
  <c r="AB23" i="35"/>
  <c r="AB15" i="35"/>
  <c r="AB27" i="35"/>
  <c r="AB16" i="35"/>
  <c r="AB12" i="35"/>
  <c r="AB26" i="35"/>
  <c r="AB13" i="35"/>
  <c r="AB14" i="35"/>
  <c r="AB22" i="35"/>
  <c r="AB20" i="35"/>
  <c r="AB11" i="35"/>
  <c r="Z11" i="19"/>
  <c r="Z12" i="19"/>
  <c r="Z13" i="19"/>
  <c r="Z14" i="19"/>
  <c r="Z15" i="19"/>
  <c r="Z16" i="19"/>
  <c r="Z17" i="19"/>
  <c r="Z33" i="35"/>
  <c r="Z30" i="35"/>
  <c r="Z29" i="35"/>
  <c r="Z28" i="35"/>
  <c r="Z25" i="35"/>
  <c r="Z21" i="35"/>
  <c r="Z18" i="35"/>
  <c r="Z17" i="35"/>
  <c r="Z32" i="35"/>
  <c r="Z24" i="35"/>
  <c r="Z31" i="35"/>
  <c r="Z19" i="35"/>
  <c r="Z23" i="35"/>
  <c r="Z15" i="35"/>
  <c r="Z27" i="35"/>
  <c r="Z16" i="35"/>
  <c r="Z12" i="35"/>
  <c r="Z26" i="35"/>
  <c r="Z13" i="35"/>
  <c r="Z14" i="35"/>
  <c r="Z22" i="35"/>
  <c r="Z20" i="35"/>
  <c r="Z11" i="35"/>
  <c r="V24" i="19"/>
  <c r="V23" i="19"/>
  <c r="V25" i="19"/>
  <c r="V17" i="19"/>
  <c r="V20" i="19"/>
  <c r="V21" i="19"/>
  <c r="V36" i="19"/>
  <c r="V34" i="19"/>
  <c r="V18" i="19"/>
  <c r="V29" i="19"/>
  <c r="V26" i="19"/>
  <c r="V64" i="19"/>
  <c r="V22" i="19"/>
  <c r="V28" i="19"/>
  <c r="V35" i="19"/>
  <c r="V44" i="19"/>
  <c r="V19" i="19"/>
  <c r="V13" i="19"/>
  <c r="V15" i="19"/>
  <c r="V16" i="19"/>
  <c r="V14" i="19"/>
  <c r="V12" i="19"/>
  <c r="V11" i="19"/>
  <c r="V33" i="34"/>
  <c r="T33" i="34"/>
  <c r="R33" i="34"/>
  <c r="P33" i="34"/>
  <c r="N33" i="34"/>
  <c r="L33" i="34"/>
  <c r="H33" i="34"/>
  <c r="F33" i="34"/>
  <c r="V32" i="34"/>
  <c r="T32" i="34"/>
  <c r="R32" i="34"/>
  <c r="P32" i="34"/>
  <c r="N32" i="34"/>
  <c r="L32" i="34"/>
  <c r="H32" i="34"/>
  <c r="F32" i="34"/>
  <c r="V31" i="34"/>
  <c r="T31" i="34"/>
  <c r="R31" i="34"/>
  <c r="P31" i="34"/>
  <c r="N31" i="34"/>
  <c r="L31" i="34"/>
  <c r="H31" i="34"/>
  <c r="F31" i="34"/>
  <c r="V30" i="34"/>
  <c r="R30" i="34"/>
  <c r="P30" i="34"/>
  <c r="N30" i="34"/>
  <c r="L30" i="34"/>
  <c r="H30" i="34"/>
  <c r="F30" i="34"/>
  <c r="R29" i="34"/>
  <c r="P29" i="34"/>
  <c r="N29" i="34"/>
  <c r="L29" i="34"/>
  <c r="H29" i="34"/>
  <c r="F29" i="34"/>
  <c r="R28" i="34"/>
  <c r="P28" i="34"/>
  <c r="N28" i="34"/>
  <c r="L28" i="34"/>
  <c r="H28" i="34"/>
  <c r="F28" i="34"/>
  <c r="W28" i="34" s="1"/>
  <c r="P27" i="34"/>
  <c r="N27" i="34"/>
  <c r="L27" i="34"/>
  <c r="H27" i="34"/>
  <c r="F27" i="34"/>
  <c r="P26" i="34"/>
  <c r="N26" i="34"/>
  <c r="L26" i="34"/>
  <c r="H26" i="34"/>
  <c r="F26" i="34"/>
  <c r="N25" i="34"/>
  <c r="L25" i="34"/>
  <c r="H25" i="34"/>
  <c r="F25" i="34"/>
  <c r="W25" i="34" s="1"/>
  <c r="X24" i="34"/>
  <c r="L24" i="34"/>
  <c r="H24" i="34"/>
  <c r="F24" i="34"/>
  <c r="X23" i="34"/>
  <c r="L23" i="34"/>
  <c r="H23" i="34"/>
  <c r="F23" i="34"/>
  <c r="X22" i="34"/>
  <c r="L22" i="34"/>
  <c r="F22" i="34"/>
  <c r="W22" i="34" s="1"/>
  <c r="X21" i="34"/>
  <c r="L21" i="34"/>
  <c r="F21" i="34"/>
  <c r="X20" i="34"/>
  <c r="L20" i="34"/>
  <c r="F20" i="34"/>
  <c r="W20" i="34" s="1"/>
  <c r="X19" i="34"/>
  <c r="L19" i="34"/>
  <c r="F19" i="34"/>
  <c r="X18" i="34"/>
  <c r="L18" i="34"/>
  <c r="F18" i="34"/>
  <c r="W18" i="34" s="1"/>
  <c r="X17" i="34"/>
  <c r="L17" i="34"/>
  <c r="F17" i="34"/>
  <c r="X16" i="34"/>
  <c r="L12" i="34"/>
  <c r="F12" i="34"/>
  <c r="W12" i="34" s="1"/>
  <c r="X15" i="34"/>
  <c r="L16" i="34"/>
  <c r="W16" i="34" s="1"/>
  <c r="X14" i="34"/>
  <c r="L15" i="34"/>
  <c r="W15" i="34" s="1"/>
  <c r="X13" i="34"/>
  <c r="L11" i="34"/>
  <c r="W11" i="34" s="1"/>
  <c r="X12" i="34"/>
  <c r="L13" i="34"/>
  <c r="W13" i="34" s="1"/>
  <c r="X11" i="34"/>
  <c r="L14" i="34"/>
  <c r="W14" i="34" s="1"/>
  <c r="W30" i="34" l="1"/>
  <c r="W27" i="34"/>
  <c r="W24" i="34"/>
  <c r="W26" i="34"/>
  <c r="W29" i="34"/>
  <c r="W17" i="34"/>
  <c r="W21" i="34"/>
  <c r="W19" i="34"/>
  <c r="W23" i="34"/>
  <c r="W33" i="34"/>
  <c r="W31" i="34"/>
  <c r="W32" i="34"/>
  <c r="L20" i="36"/>
  <c r="J20" i="36"/>
  <c r="F20" i="36"/>
  <c r="Y20" i="36" s="1"/>
  <c r="L23" i="36"/>
  <c r="J23" i="36"/>
  <c r="F23" i="36"/>
  <c r="L47" i="36"/>
  <c r="J47" i="36"/>
  <c r="F47" i="36"/>
  <c r="J35" i="36"/>
  <c r="F35" i="36"/>
  <c r="Y35" i="36" s="1"/>
  <c r="F46" i="36"/>
  <c r="Y46" i="36" s="1"/>
  <c r="F29" i="36"/>
  <c r="Y29" i="36" s="1"/>
  <c r="F31" i="36"/>
  <c r="Y31" i="36" s="1"/>
  <c r="F41" i="36"/>
  <c r="Y41" i="36" s="1"/>
  <c r="F38" i="36"/>
  <c r="Y38" i="36" s="1"/>
  <c r="Z24" i="36"/>
  <c r="F14" i="36"/>
  <c r="Y14" i="36" s="1"/>
  <c r="Z23" i="36"/>
  <c r="F17" i="36"/>
  <c r="Y17" i="36" s="1"/>
  <c r="Z22" i="36"/>
  <c r="F18" i="36"/>
  <c r="Y18" i="36" s="1"/>
  <c r="Z21" i="36"/>
  <c r="F22" i="36"/>
  <c r="Y22" i="36" s="1"/>
  <c r="Z20" i="36"/>
  <c r="F16" i="36"/>
  <c r="Y16" i="36" s="1"/>
  <c r="Z19" i="36"/>
  <c r="F30" i="36"/>
  <c r="Y30" i="36" s="1"/>
  <c r="Z18" i="36"/>
  <c r="F21" i="36"/>
  <c r="Y21" i="36" s="1"/>
  <c r="Z17" i="36"/>
  <c r="Z16" i="36"/>
  <c r="Z15" i="36"/>
  <c r="Z14" i="36"/>
  <c r="Z13" i="36"/>
  <c r="Z12" i="36"/>
  <c r="Z11" i="36"/>
  <c r="P24" i="19"/>
  <c r="P23" i="19"/>
  <c r="P25" i="19"/>
  <c r="P17" i="19"/>
  <c r="P20" i="19"/>
  <c r="P21" i="19"/>
  <c r="P36" i="19"/>
  <c r="P34" i="19"/>
  <c r="P18" i="19"/>
  <c r="P29" i="19"/>
  <c r="P26" i="19"/>
  <c r="P64" i="19"/>
  <c r="P22" i="19"/>
  <c r="P28" i="19"/>
  <c r="P35" i="19"/>
  <c r="P44" i="19"/>
  <c r="P19" i="19"/>
  <c r="P13" i="19"/>
  <c r="P15" i="19"/>
  <c r="P16" i="19"/>
  <c r="P14" i="19"/>
  <c r="P12" i="19"/>
  <c r="P11" i="19"/>
  <c r="V33" i="35"/>
  <c r="V30" i="35"/>
  <c r="V29" i="35"/>
  <c r="V28" i="35"/>
  <c r="V25" i="35"/>
  <c r="V21" i="35"/>
  <c r="V18" i="35"/>
  <c r="V17" i="35"/>
  <c r="V32" i="35"/>
  <c r="V24" i="35"/>
  <c r="V31" i="35"/>
  <c r="V19" i="35"/>
  <c r="V23" i="35"/>
  <c r="V15" i="35"/>
  <c r="V27" i="35"/>
  <c r="V16" i="35"/>
  <c r="V12" i="35"/>
  <c r="V26" i="35"/>
  <c r="V13" i="35"/>
  <c r="V14" i="35"/>
  <c r="V22" i="35"/>
  <c r="V20" i="35"/>
  <c r="V11" i="35"/>
  <c r="T33" i="35"/>
  <c r="T30" i="35"/>
  <c r="T29" i="35"/>
  <c r="T28" i="35"/>
  <c r="T25" i="35"/>
  <c r="T21" i="35"/>
  <c r="T18" i="35"/>
  <c r="T17" i="35"/>
  <c r="T32" i="35"/>
  <c r="T24" i="35"/>
  <c r="T31" i="35"/>
  <c r="T19" i="35"/>
  <c r="T23" i="35"/>
  <c r="T15" i="35"/>
  <c r="T27" i="35"/>
  <c r="T16" i="35"/>
  <c r="T12" i="35"/>
  <c r="T26" i="35"/>
  <c r="T13" i="35"/>
  <c r="T14" i="35"/>
  <c r="T22" i="35"/>
  <c r="T20" i="35"/>
  <c r="T11" i="35"/>
  <c r="P33" i="35"/>
  <c r="P30" i="35"/>
  <c r="P29" i="35"/>
  <c r="Y33" i="31"/>
  <c r="Z33" i="31" s="1"/>
  <c r="X33" i="31"/>
  <c r="Y32" i="31"/>
  <c r="Z32" i="31" s="1"/>
  <c r="X32" i="31"/>
  <c r="Y20" i="31"/>
  <c r="Z20" i="31" s="1"/>
  <c r="X20" i="31"/>
  <c r="E34" i="31"/>
  <c r="G34" i="31"/>
  <c r="I34" i="31"/>
  <c r="K34" i="31"/>
  <c r="M34" i="31"/>
  <c r="N18" i="2"/>
  <c r="N15" i="2"/>
  <c r="N17" i="2"/>
  <c r="N16" i="2"/>
  <c r="N19" i="2"/>
  <c r="N14" i="2"/>
  <c r="N12" i="2"/>
  <c r="N11" i="2"/>
  <c r="N13" i="2"/>
  <c r="X11" i="2"/>
  <c r="A11" i="2" s="1"/>
  <c r="X12" i="2"/>
  <c r="A12" i="2" s="1"/>
  <c r="X13" i="2"/>
  <c r="A13" i="2" s="1"/>
  <c r="X14" i="2"/>
  <c r="A14" i="2" s="1"/>
  <c r="X15" i="2"/>
  <c r="A15" i="2" s="1"/>
  <c r="X16" i="2"/>
  <c r="X17" i="2"/>
  <c r="X18" i="2"/>
  <c r="X21" i="2"/>
  <c r="G3" i="9"/>
  <c r="K49" i="36"/>
  <c r="I49" i="36"/>
  <c r="G49" i="36"/>
  <c r="E49" i="36"/>
  <c r="G34" i="34"/>
  <c r="E34" i="34"/>
  <c r="M35" i="35"/>
  <c r="K35" i="35"/>
  <c r="I35" i="35"/>
  <c r="G35" i="35"/>
  <c r="E35" i="35"/>
  <c r="N33" i="35"/>
  <c r="L33" i="35"/>
  <c r="H33" i="35"/>
  <c r="F33" i="35"/>
  <c r="N30" i="35"/>
  <c r="L30" i="35"/>
  <c r="H30" i="35"/>
  <c r="F30" i="35"/>
  <c r="N29" i="35"/>
  <c r="L29" i="35"/>
  <c r="H29" i="35"/>
  <c r="F29" i="35"/>
  <c r="N28" i="35"/>
  <c r="L28" i="35"/>
  <c r="H28" i="35"/>
  <c r="F28" i="35"/>
  <c r="N25" i="35"/>
  <c r="L25" i="35"/>
  <c r="H25" i="35"/>
  <c r="F25" i="35"/>
  <c r="N21" i="35"/>
  <c r="L21" i="35"/>
  <c r="H21" i="35"/>
  <c r="F21" i="35"/>
  <c r="N18" i="35"/>
  <c r="L18" i="35"/>
  <c r="H18" i="35"/>
  <c r="F18" i="35"/>
  <c r="N17" i="35"/>
  <c r="L17" i="35"/>
  <c r="H17" i="35"/>
  <c r="F17" i="35"/>
  <c r="N32" i="35"/>
  <c r="L32" i="35"/>
  <c r="H32" i="35"/>
  <c r="F32" i="35"/>
  <c r="N24" i="35"/>
  <c r="L24" i="35"/>
  <c r="H24" i="35"/>
  <c r="F24" i="35"/>
  <c r="N31" i="35"/>
  <c r="L31" i="35"/>
  <c r="H31" i="35"/>
  <c r="F31" i="35"/>
  <c r="N19" i="35"/>
  <c r="L19" i="35"/>
  <c r="H19" i="35"/>
  <c r="F19" i="35"/>
  <c r="N23" i="35"/>
  <c r="L23" i="35"/>
  <c r="H23" i="35"/>
  <c r="F23" i="35"/>
  <c r="N15" i="35"/>
  <c r="L15" i="35"/>
  <c r="H15" i="35"/>
  <c r="F15" i="35"/>
  <c r="N27" i="35"/>
  <c r="L27" i="35"/>
  <c r="H27" i="35"/>
  <c r="F27" i="35"/>
  <c r="N16" i="35"/>
  <c r="L16" i="35"/>
  <c r="H16" i="35"/>
  <c r="F16" i="35"/>
  <c r="AD18" i="35"/>
  <c r="N12" i="35"/>
  <c r="L12" i="35"/>
  <c r="H12" i="35"/>
  <c r="F12" i="35"/>
  <c r="AD17" i="35"/>
  <c r="N26" i="35"/>
  <c r="L26" i="35"/>
  <c r="H26" i="35"/>
  <c r="F26" i="35"/>
  <c r="AD12" i="35"/>
  <c r="N13" i="35"/>
  <c r="L13" i="35"/>
  <c r="H13" i="35"/>
  <c r="F13" i="35"/>
  <c r="AD16" i="35"/>
  <c r="N14" i="35"/>
  <c r="L14" i="35"/>
  <c r="H14" i="35"/>
  <c r="F14" i="35"/>
  <c r="AD15" i="35"/>
  <c r="A13" i="35" s="1"/>
  <c r="N22" i="35"/>
  <c r="L22" i="35"/>
  <c r="H22" i="35"/>
  <c r="F22" i="35"/>
  <c r="AD14" i="35"/>
  <c r="N20" i="35"/>
  <c r="L20" i="35"/>
  <c r="H20" i="35"/>
  <c r="F20" i="35"/>
  <c r="AD11" i="35"/>
  <c r="A11" i="35" s="1"/>
  <c r="N11" i="35"/>
  <c r="F11" i="35"/>
  <c r="J12" i="19"/>
  <c r="J14" i="19"/>
  <c r="J16" i="19"/>
  <c r="J15" i="19"/>
  <c r="J13" i="19"/>
  <c r="J19" i="19"/>
  <c r="J44" i="19"/>
  <c r="J35" i="19"/>
  <c r="J28" i="19"/>
  <c r="J22" i="19"/>
  <c r="J64" i="19"/>
  <c r="J26" i="19"/>
  <c r="J29" i="19"/>
  <c r="J18" i="19"/>
  <c r="J34" i="19"/>
  <c r="J36" i="19"/>
  <c r="J21" i="19"/>
  <c r="J20" i="19"/>
  <c r="J17" i="19"/>
  <c r="J25" i="19"/>
  <c r="J23" i="19"/>
  <c r="J24" i="19"/>
  <c r="G3" i="30"/>
  <c r="G3" i="7"/>
  <c r="V15" i="7"/>
  <c r="V14" i="7"/>
  <c r="V12" i="7"/>
  <c r="V13" i="7"/>
  <c r="V18" i="7"/>
  <c r="V20" i="7"/>
  <c r="V21" i="7"/>
  <c r="V17" i="7"/>
  <c r="J15" i="7"/>
  <c r="J14" i="7"/>
  <c r="J12" i="7"/>
  <c r="J13" i="7"/>
  <c r="J20" i="7"/>
  <c r="J17" i="7"/>
  <c r="J11" i="7"/>
  <c r="H14" i="7"/>
  <c r="H12" i="7"/>
  <c r="H13" i="7"/>
  <c r="H18" i="7"/>
  <c r="F15" i="7"/>
  <c r="F14" i="7"/>
  <c r="F12" i="7"/>
  <c r="F13" i="7"/>
  <c r="F18" i="7"/>
  <c r="F21" i="7"/>
  <c r="F17" i="7"/>
  <c r="G13" i="25"/>
  <c r="G11" i="25"/>
  <c r="G18" i="25"/>
  <c r="G19" i="25"/>
  <c r="G12" i="25"/>
  <c r="G15" i="25"/>
  <c r="G14" i="25"/>
  <c r="G17" i="25"/>
  <c r="G29" i="25"/>
  <c r="G20" i="25"/>
  <c r="G35" i="25"/>
  <c r="G21" i="25"/>
  <c r="G24" i="25"/>
  <c r="G22" i="25"/>
  <c r="G31" i="25"/>
  <c r="G38" i="25"/>
  <c r="G30" i="25"/>
  <c r="G39" i="25"/>
  <c r="G27" i="25"/>
  <c r="G41" i="25"/>
  <c r="G46" i="25"/>
  <c r="G49" i="25"/>
  <c r="G53" i="25"/>
  <c r="G25" i="25"/>
  <c r="G26" i="25"/>
  <c r="G28" i="25"/>
  <c r="G23" i="25"/>
  <c r="G33" i="25"/>
  <c r="G36" i="25"/>
  <c r="G32" i="25"/>
  <c r="G40" i="25"/>
  <c r="G34" i="25"/>
  <c r="G37" i="25"/>
  <c r="G44" i="25"/>
  <c r="G45" i="25"/>
  <c r="G50" i="25"/>
  <c r="G54" i="25"/>
  <c r="G42" i="25"/>
  <c r="G43" i="25"/>
  <c r="G47" i="25"/>
  <c r="M13" i="25"/>
  <c r="M11" i="25"/>
  <c r="M18" i="25"/>
  <c r="M19" i="25"/>
  <c r="M12" i="25"/>
  <c r="M15" i="25"/>
  <c r="M14" i="25"/>
  <c r="M17" i="25"/>
  <c r="M29" i="25"/>
  <c r="M20" i="25"/>
  <c r="M35" i="25"/>
  <c r="M21" i="25"/>
  <c r="M24" i="25"/>
  <c r="M22" i="25"/>
  <c r="M31" i="25"/>
  <c r="M38" i="25"/>
  <c r="M30" i="25"/>
  <c r="M39" i="25"/>
  <c r="M27" i="25"/>
  <c r="M41" i="25"/>
  <c r="M46" i="25"/>
  <c r="M49" i="25"/>
  <c r="M53" i="25"/>
  <c r="M25" i="25"/>
  <c r="M26" i="25"/>
  <c r="M28" i="25"/>
  <c r="M23" i="25"/>
  <c r="M33" i="25"/>
  <c r="M36" i="25"/>
  <c r="M32" i="25"/>
  <c r="M40" i="25"/>
  <c r="M34" i="25"/>
  <c r="M37" i="25"/>
  <c r="M44" i="25"/>
  <c r="M45" i="25"/>
  <c r="M50" i="25"/>
  <c r="M54" i="25"/>
  <c r="M42" i="25"/>
  <c r="M43" i="25"/>
  <c r="M47" i="25"/>
  <c r="O47" i="25"/>
  <c r="G12" i="9"/>
  <c r="G14" i="9"/>
  <c r="G13" i="9"/>
  <c r="G16" i="9"/>
  <c r="G22" i="9"/>
  <c r="G17" i="9"/>
  <c r="G21" i="9"/>
  <c r="G18" i="9"/>
  <c r="G25" i="9"/>
  <c r="G20" i="9"/>
  <c r="G26" i="9"/>
  <c r="G23" i="9"/>
  <c r="G24" i="9"/>
  <c r="G27" i="9"/>
  <c r="G30" i="9"/>
  <c r="G29" i="9"/>
  <c r="G31" i="9"/>
  <c r="G32" i="9"/>
  <c r="G33" i="9"/>
  <c r="J26" i="29"/>
  <c r="J29" i="29"/>
  <c r="J13" i="29"/>
  <c r="J14" i="29"/>
  <c r="J18" i="29"/>
  <c r="J20" i="29"/>
  <c r="H26" i="29"/>
  <c r="H29" i="29"/>
  <c r="H14" i="29"/>
  <c r="H18" i="29"/>
  <c r="H15" i="29"/>
  <c r="H27" i="29"/>
  <c r="H16" i="29"/>
  <c r="H19" i="29"/>
  <c r="F11" i="29"/>
  <c r="F26" i="29"/>
  <c r="F29" i="29"/>
  <c r="F13" i="29"/>
  <c r="F12" i="29"/>
  <c r="F14" i="29"/>
  <c r="F18" i="29"/>
  <c r="F20" i="29"/>
  <c r="F15" i="29"/>
  <c r="F27" i="29"/>
  <c r="F16" i="29"/>
  <c r="E59" i="29"/>
  <c r="F33" i="29"/>
  <c r="F36" i="29"/>
  <c r="F17" i="29"/>
  <c r="F30" i="29"/>
  <c r="F23" i="29"/>
  <c r="F24" i="29"/>
  <c r="F21" i="29"/>
  <c r="F25" i="29"/>
  <c r="F42" i="29"/>
  <c r="F28" i="29"/>
  <c r="F56" i="29"/>
  <c r="F54" i="29"/>
  <c r="F35" i="29"/>
  <c r="F22" i="29"/>
  <c r="F43" i="29"/>
  <c r="F40" i="29"/>
  <c r="F41" i="29"/>
  <c r="F49" i="29"/>
  <c r="F38" i="29"/>
  <c r="F51" i="29"/>
  <c r="F55" i="29"/>
  <c r="F32" i="29"/>
  <c r="F53" i="29"/>
  <c r="F39" i="29"/>
  <c r="F46" i="29"/>
  <c r="F44" i="29"/>
  <c r="F47" i="29"/>
  <c r="F48" i="29"/>
  <c r="F58" i="29"/>
  <c r="H33" i="29"/>
  <c r="H36" i="29"/>
  <c r="H17" i="29"/>
  <c r="H30" i="29"/>
  <c r="H23" i="29"/>
  <c r="H24" i="29"/>
  <c r="H21" i="29"/>
  <c r="H25" i="29"/>
  <c r="H42" i="29"/>
  <c r="H28" i="29"/>
  <c r="H56" i="29"/>
  <c r="H54" i="29"/>
  <c r="H35" i="29"/>
  <c r="H22" i="29"/>
  <c r="H43" i="29"/>
  <c r="H40" i="29"/>
  <c r="H41" i="29"/>
  <c r="H49" i="29"/>
  <c r="H38" i="29"/>
  <c r="H51" i="29"/>
  <c r="H55" i="29"/>
  <c r="H32" i="29"/>
  <c r="H53" i="29"/>
  <c r="H39" i="29"/>
  <c r="H46" i="29"/>
  <c r="H44" i="29"/>
  <c r="H47" i="29"/>
  <c r="H48" i="29"/>
  <c r="H58" i="29"/>
  <c r="J33" i="29"/>
  <c r="J36" i="29"/>
  <c r="J30" i="29"/>
  <c r="J23" i="29"/>
  <c r="J24" i="29"/>
  <c r="J25" i="29"/>
  <c r="J42" i="29"/>
  <c r="J28" i="29"/>
  <c r="J35" i="29"/>
  <c r="J22" i="29"/>
  <c r="J43" i="29"/>
  <c r="J40" i="29"/>
  <c r="J41" i="29"/>
  <c r="J49" i="29"/>
  <c r="J38" i="29"/>
  <c r="J51" i="29"/>
  <c r="J55" i="29"/>
  <c r="J32" i="29"/>
  <c r="J53" i="29"/>
  <c r="J39" i="29"/>
  <c r="J46" i="29"/>
  <c r="J44" i="29"/>
  <c r="J47" i="29"/>
  <c r="J48" i="29"/>
  <c r="J58" i="29"/>
  <c r="T58" i="29"/>
  <c r="V22" i="29"/>
  <c r="V20" i="29"/>
  <c r="V24" i="29"/>
  <c r="V25" i="29"/>
  <c r="A24" i="29" s="1"/>
  <c r="V26" i="29"/>
  <c r="A25" i="29" s="1"/>
  <c r="V27" i="29"/>
  <c r="V28" i="29"/>
  <c r="V23" i="29"/>
  <c r="V29" i="29"/>
  <c r="A29" i="29" s="1"/>
  <c r="V30" i="29"/>
  <c r="A30" i="29" s="1"/>
  <c r="V31" i="29"/>
  <c r="A31" i="29" s="1"/>
  <c r="V32" i="29"/>
  <c r="A32" i="29" s="1"/>
  <c r="V33" i="29"/>
  <c r="A33" i="29" s="1"/>
  <c r="V34" i="29"/>
  <c r="V35" i="29"/>
  <c r="V36" i="29"/>
  <c r="V37" i="29"/>
  <c r="V38" i="29"/>
  <c r="V39" i="29"/>
  <c r="V40" i="29"/>
  <c r="V41" i="29"/>
  <c r="V42" i="29"/>
  <c r="V43" i="29"/>
  <c r="V44" i="29"/>
  <c r="V46" i="29"/>
  <c r="V45" i="29"/>
  <c r="V47" i="29"/>
  <c r="V48" i="29"/>
  <c r="V49" i="29"/>
  <c r="V50" i="29"/>
  <c r="V51" i="29"/>
  <c r="V58" i="29"/>
  <c r="A22" i="29"/>
  <c r="F26" i="28"/>
  <c r="F21" i="28"/>
  <c r="F29" i="28"/>
  <c r="F31" i="28"/>
  <c r="F34" i="28"/>
  <c r="F20" i="28"/>
  <c r="F25" i="28"/>
  <c r="F27" i="28"/>
  <c r="F22" i="28"/>
  <c r="F30" i="28"/>
  <c r="P15" i="28"/>
  <c r="P11" i="28"/>
  <c r="P14" i="28"/>
  <c r="P16" i="28"/>
  <c r="P23" i="28"/>
  <c r="P12" i="28"/>
  <c r="P19" i="28"/>
  <c r="P32" i="28"/>
  <c r="P24" i="28"/>
  <c r="P18" i="28"/>
  <c r="P26" i="28"/>
  <c r="P21" i="28"/>
  <c r="P29" i="28"/>
  <c r="P31" i="28"/>
  <c r="P34" i="28"/>
  <c r="P20" i="28"/>
  <c r="P25" i="28"/>
  <c r="P27" i="28"/>
  <c r="P22" i="28"/>
  <c r="P30" i="28"/>
  <c r="T15" i="28"/>
  <c r="U15" i="28" s="1"/>
  <c r="T11" i="28"/>
  <c r="U11" i="28" s="1"/>
  <c r="T14" i="28"/>
  <c r="T16" i="28"/>
  <c r="T23" i="28"/>
  <c r="T12" i="28"/>
  <c r="T19" i="28"/>
  <c r="U19" i="28" s="1"/>
  <c r="T32" i="28"/>
  <c r="U32" i="28" s="1"/>
  <c r="T24" i="28"/>
  <c r="U24" i="28" s="1"/>
  <c r="T18" i="28"/>
  <c r="U18" i="28" s="1"/>
  <c r="T26" i="28"/>
  <c r="T21" i="28"/>
  <c r="T29" i="28"/>
  <c r="T31" i="28"/>
  <c r="T34" i="28"/>
  <c r="U34" i="28" s="1"/>
  <c r="T20" i="28"/>
  <c r="U20" i="28" s="1"/>
  <c r="T25" i="28"/>
  <c r="U25" i="28" s="1"/>
  <c r="T27" i="28"/>
  <c r="U27" i="28" s="1"/>
  <c r="T22" i="28"/>
  <c r="T30" i="28"/>
  <c r="T56" i="24"/>
  <c r="T26" i="24"/>
  <c r="T31" i="24"/>
  <c r="T16" i="24"/>
  <c r="T17" i="24"/>
  <c r="T14" i="24"/>
  <c r="T40" i="24"/>
  <c r="T47" i="24"/>
  <c r="T43" i="24"/>
  <c r="T13" i="24"/>
  <c r="T25" i="24"/>
  <c r="T18" i="24"/>
  <c r="T11" i="24"/>
  <c r="T12" i="24"/>
  <c r="T36" i="24"/>
  <c r="T19" i="24"/>
  <c r="T34" i="24"/>
  <c r="T24" i="24"/>
  <c r="T21" i="24"/>
  <c r="T37" i="24"/>
  <c r="T28" i="24"/>
  <c r="T30" i="24"/>
  <c r="T20" i="24"/>
  <c r="T22" i="24"/>
  <c r="T23" i="24"/>
  <c r="T27" i="24"/>
  <c r="T29" i="24"/>
  <c r="T32" i="24"/>
  <c r="T33" i="24"/>
  <c r="T35" i="24"/>
  <c r="T38" i="24"/>
  <c r="T39" i="24"/>
  <c r="T41" i="24"/>
  <c r="T42" i="24"/>
  <c r="T44" i="24"/>
  <c r="T45" i="24"/>
  <c r="T46" i="24"/>
  <c r="T48" i="24"/>
  <c r="T49" i="24"/>
  <c r="T50" i="24"/>
  <c r="T51" i="24"/>
  <c r="T52" i="24"/>
  <c r="T53" i="24"/>
  <c r="T54" i="24"/>
  <c r="T55" i="24"/>
  <c r="R51" i="24"/>
  <c r="R52" i="24"/>
  <c r="R53" i="24"/>
  <c r="R54" i="24"/>
  <c r="R55" i="24"/>
  <c r="R56" i="24"/>
  <c r="R26" i="24"/>
  <c r="R31" i="24"/>
  <c r="R16" i="24"/>
  <c r="R17" i="24"/>
  <c r="R14" i="24"/>
  <c r="R40" i="24"/>
  <c r="R47" i="24"/>
  <c r="R43" i="24"/>
  <c r="R13" i="24"/>
  <c r="R25" i="24"/>
  <c r="R18" i="24"/>
  <c r="R11" i="24"/>
  <c r="R12" i="24"/>
  <c r="R36" i="24"/>
  <c r="R19" i="24"/>
  <c r="R34" i="24"/>
  <c r="R24" i="24"/>
  <c r="R21" i="24"/>
  <c r="R37" i="24"/>
  <c r="R28" i="24"/>
  <c r="R30" i="24"/>
  <c r="R20" i="24"/>
  <c r="R22" i="24"/>
  <c r="R23" i="24"/>
  <c r="R27" i="24"/>
  <c r="R29" i="24"/>
  <c r="R32" i="24"/>
  <c r="R33" i="24"/>
  <c r="R35" i="24"/>
  <c r="R38" i="24"/>
  <c r="R39" i="24"/>
  <c r="R41" i="24"/>
  <c r="R42" i="24"/>
  <c r="R44" i="24"/>
  <c r="R45" i="24"/>
  <c r="R46" i="24"/>
  <c r="R48" i="24"/>
  <c r="R49" i="24"/>
  <c r="R50" i="24"/>
  <c r="P51" i="24"/>
  <c r="P52" i="24"/>
  <c r="P53" i="24"/>
  <c r="P54" i="24"/>
  <c r="P55" i="24"/>
  <c r="P56" i="24"/>
  <c r="P26" i="24"/>
  <c r="P31" i="24"/>
  <c r="P16" i="24"/>
  <c r="P17" i="24"/>
  <c r="P14" i="24"/>
  <c r="P40" i="24"/>
  <c r="P47" i="24"/>
  <c r="P43" i="24"/>
  <c r="P13" i="24"/>
  <c r="P25" i="24"/>
  <c r="P18" i="24"/>
  <c r="P11" i="24"/>
  <c r="P12" i="24"/>
  <c r="P36" i="24"/>
  <c r="P19" i="24"/>
  <c r="P34" i="24"/>
  <c r="P24" i="24"/>
  <c r="P21" i="24"/>
  <c r="P37" i="24"/>
  <c r="P28" i="24"/>
  <c r="P30" i="24"/>
  <c r="P20" i="24"/>
  <c r="P22" i="24"/>
  <c r="P23" i="24"/>
  <c r="P27" i="24"/>
  <c r="P29" i="24"/>
  <c r="P32" i="24"/>
  <c r="P33" i="24"/>
  <c r="P35" i="24"/>
  <c r="P38" i="24"/>
  <c r="P39" i="24"/>
  <c r="P41" i="24"/>
  <c r="P42" i="24"/>
  <c r="P44" i="24"/>
  <c r="P45" i="24"/>
  <c r="P46" i="24"/>
  <c r="P48" i="24"/>
  <c r="P49" i="24"/>
  <c r="P50" i="24"/>
  <c r="N52" i="24"/>
  <c r="N53" i="24"/>
  <c r="N54" i="24"/>
  <c r="N55" i="24"/>
  <c r="N56" i="24"/>
  <c r="L51" i="24"/>
  <c r="L52" i="24"/>
  <c r="L53" i="24"/>
  <c r="L54" i="24"/>
  <c r="L55" i="24"/>
  <c r="L56" i="24"/>
  <c r="L20" i="24"/>
  <c r="L22" i="24"/>
  <c r="L23" i="24"/>
  <c r="L27" i="24"/>
  <c r="L29" i="24"/>
  <c r="L32" i="24"/>
  <c r="L33" i="24"/>
  <c r="L35" i="24"/>
  <c r="L38" i="24"/>
  <c r="L39" i="24"/>
  <c r="L41" i="24"/>
  <c r="L42" i="24"/>
  <c r="L44" i="24"/>
  <c r="L45" i="24"/>
  <c r="L46" i="24"/>
  <c r="L48" i="24"/>
  <c r="L49" i="24"/>
  <c r="L50" i="24"/>
  <c r="H51" i="24"/>
  <c r="H52" i="24"/>
  <c r="H53" i="24"/>
  <c r="H54" i="24"/>
  <c r="H55" i="24"/>
  <c r="H56" i="24"/>
  <c r="H26" i="24"/>
  <c r="H31" i="24"/>
  <c r="H16" i="24"/>
  <c r="H17" i="24"/>
  <c r="H14" i="24"/>
  <c r="H47" i="24"/>
  <c r="H43" i="24"/>
  <c r="H13" i="24"/>
  <c r="H25" i="24"/>
  <c r="H18" i="24"/>
  <c r="H11" i="24"/>
  <c r="H12" i="24"/>
  <c r="H36" i="24"/>
  <c r="H19" i="24"/>
  <c r="H34" i="24"/>
  <c r="H21" i="24"/>
  <c r="H37" i="24"/>
  <c r="H28" i="24"/>
  <c r="H30" i="24"/>
  <c r="H20" i="24"/>
  <c r="H22" i="24"/>
  <c r="H23" i="24"/>
  <c r="H27" i="24"/>
  <c r="H29" i="24"/>
  <c r="H32" i="24"/>
  <c r="H33" i="24"/>
  <c r="H35" i="24"/>
  <c r="H38" i="24"/>
  <c r="H39" i="24"/>
  <c r="H41" i="24"/>
  <c r="H42" i="24"/>
  <c r="H44" i="24"/>
  <c r="H45" i="24"/>
  <c r="H46" i="24"/>
  <c r="H48" i="24"/>
  <c r="H49" i="24"/>
  <c r="H50" i="24"/>
  <c r="F51" i="24"/>
  <c r="F52" i="24"/>
  <c r="F53" i="24"/>
  <c r="F54" i="24"/>
  <c r="F55" i="24"/>
  <c r="F56" i="24"/>
  <c r="F26" i="24"/>
  <c r="F31" i="24"/>
  <c r="F16" i="24"/>
  <c r="F17" i="24"/>
  <c r="F14" i="24"/>
  <c r="F40" i="24"/>
  <c r="F47" i="24"/>
  <c r="F43" i="24"/>
  <c r="F13" i="24"/>
  <c r="F25" i="24"/>
  <c r="F18" i="24"/>
  <c r="F11" i="24"/>
  <c r="F12" i="24"/>
  <c r="F36" i="24"/>
  <c r="F19" i="24"/>
  <c r="F34" i="24"/>
  <c r="F24" i="24"/>
  <c r="F21" i="24"/>
  <c r="F37" i="24"/>
  <c r="F28" i="24"/>
  <c r="F30" i="24"/>
  <c r="F20" i="24"/>
  <c r="F22" i="24"/>
  <c r="F23" i="24"/>
  <c r="F27" i="24"/>
  <c r="F29" i="24"/>
  <c r="F32" i="24"/>
  <c r="F33" i="24"/>
  <c r="F35" i="24"/>
  <c r="F38" i="24"/>
  <c r="F39" i="24"/>
  <c r="F41" i="24"/>
  <c r="F42" i="24"/>
  <c r="F44" i="24"/>
  <c r="F45" i="24"/>
  <c r="F46" i="24"/>
  <c r="F48" i="24"/>
  <c r="F49" i="24"/>
  <c r="F50" i="24"/>
  <c r="R11" i="13"/>
  <c r="R26" i="13"/>
  <c r="R25" i="13"/>
  <c r="R29" i="13"/>
  <c r="R20" i="13"/>
  <c r="R12" i="13"/>
  <c r="R19" i="13"/>
  <c r="R18" i="13"/>
  <c r="R14" i="13"/>
  <c r="R16" i="13"/>
  <c r="R21" i="13"/>
  <c r="R27" i="13"/>
  <c r="R17" i="13"/>
  <c r="P11" i="13"/>
  <c r="P26" i="13"/>
  <c r="P25" i="13"/>
  <c r="P29" i="13"/>
  <c r="P20" i="13"/>
  <c r="P12" i="13"/>
  <c r="P19" i="13"/>
  <c r="P18" i="13"/>
  <c r="P14" i="13"/>
  <c r="P16" i="13"/>
  <c r="P21" i="13"/>
  <c r="P27" i="13"/>
  <c r="P17" i="13"/>
  <c r="N11" i="13"/>
  <c r="N26" i="13"/>
  <c r="N25" i="13"/>
  <c r="N29" i="13"/>
  <c r="N20" i="13"/>
  <c r="N12" i="13"/>
  <c r="N19" i="13"/>
  <c r="N18" i="13"/>
  <c r="N14" i="13"/>
  <c r="N16" i="13"/>
  <c r="N21" i="13"/>
  <c r="N27" i="13"/>
  <c r="N17" i="13"/>
  <c r="H20" i="13"/>
  <c r="H21" i="13"/>
  <c r="H27" i="13"/>
  <c r="H17" i="13"/>
  <c r="F20" i="13"/>
  <c r="F12" i="13"/>
  <c r="F18" i="13"/>
  <c r="F14" i="13"/>
  <c r="F16" i="13"/>
  <c r="F21" i="13"/>
  <c r="F27" i="13"/>
  <c r="F17" i="13"/>
  <c r="L11" i="26"/>
  <c r="L12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H11" i="26"/>
  <c r="H12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F11" i="26"/>
  <c r="F12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37" i="26"/>
  <c r="F38" i="26"/>
  <c r="F39" i="26"/>
  <c r="F40" i="26"/>
  <c r="J13" i="27"/>
  <c r="L16" i="27"/>
  <c r="K34" i="34"/>
  <c r="I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Z12" i="9"/>
  <c r="W14" i="9"/>
  <c r="W13" i="9"/>
  <c r="W15" i="9"/>
  <c r="W28" i="9"/>
  <c r="W16" i="9"/>
  <c r="W19" i="9"/>
  <c r="W17" i="9"/>
  <c r="W21" i="9"/>
  <c r="W22" i="9"/>
  <c r="W18" i="9"/>
  <c r="W25" i="9"/>
  <c r="W20" i="9"/>
  <c r="W26" i="9"/>
  <c r="W23" i="9"/>
  <c r="W24" i="9"/>
  <c r="W27" i="9"/>
  <c r="W30" i="9"/>
  <c r="W29" i="9"/>
  <c r="W31" i="9"/>
  <c r="W32" i="9"/>
  <c r="W12" i="9"/>
  <c r="W11" i="29"/>
  <c r="W14" i="29"/>
  <c r="W16" i="29"/>
  <c r="W13" i="29"/>
  <c r="W12" i="29"/>
  <c r="W19" i="29"/>
  <c r="W17" i="29"/>
  <c r="W18" i="29"/>
  <c r="W21" i="29"/>
  <c r="W20" i="29"/>
  <c r="W15" i="29"/>
  <c r="W24" i="29"/>
  <c r="W26" i="29"/>
  <c r="W27" i="29"/>
  <c r="W22" i="29"/>
  <c r="W28" i="29"/>
  <c r="W30" i="29"/>
  <c r="W32" i="29"/>
  <c r="W23" i="29"/>
  <c r="W33" i="29"/>
  <c r="W34" i="29"/>
  <c r="W35" i="29"/>
  <c r="W36" i="29"/>
  <c r="W31" i="29"/>
  <c r="W37" i="29"/>
  <c r="W39" i="29"/>
  <c r="W43" i="29"/>
  <c r="W45" i="29"/>
  <c r="W46" i="29"/>
  <c r="W47" i="29"/>
  <c r="W44" i="29"/>
  <c r="W48" i="29"/>
  <c r="W49" i="29"/>
  <c r="W50" i="29"/>
  <c r="W51" i="29"/>
  <c r="W29" i="29"/>
  <c r="W38" i="29"/>
  <c r="W41" i="29"/>
  <c r="W40" i="29"/>
  <c r="W42" i="29"/>
  <c r="W58" i="29"/>
  <c r="W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4" i="28"/>
  <c r="W26" i="28"/>
  <c r="W20" i="28"/>
  <c r="X20" i="28" s="1"/>
  <c r="W28" i="28"/>
  <c r="W15" i="28"/>
  <c r="V20" i="28"/>
  <c r="A20" i="28" s="1"/>
  <c r="V26" i="28"/>
  <c r="A26" i="28" s="1"/>
  <c r="T13" i="28"/>
  <c r="P12" i="31"/>
  <c r="Y12" i="2"/>
  <c r="Y13" i="2"/>
  <c r="Y14" i="2"/>
  <c r="Y15" i="2"/>
  <c r="Y16" i="2"/>
  <c r="Y17" i="2"/>
  <c r="Y18" i="2"/>
  <c r="Y21" i="2"/>
  <c r="Y11" i="2"/>
  <c r="P13" i="2"/>
  <c r="U23" i="7"/>
  <c r="L12" i="2"/>
  <c r="L11" i="2"/>
  <c r="L14" i="2"/>
  <c r="L19" i="2"/>
  <c r="L16" i="2"/>
  <c r="L17" i="2"/>
  <c r="L15" i="2"/>
  <c r="L18" i="2"/>
  <c r="L13" i="2"/>
  <c r="V25" i="30"/>
  <c r="V26" i="30"/>
  <c r="V12" i="30"/>
  <c r="V13" i="30"/>
  <c r="V23" i="30"/>
  <c r="V22" i="30"/>
  <c r="V14" i="30"/>
  <c r="V19" i="30"/>
  <c r="V15" i="30"/>
  <c r="V20" i="30"/>
  <c r="V17" i="30"/>
  <c r="V16" i="30"/>
  <c r="V28" i="30"/>
  <c r="V21" i="30"/>
  <c r="V27" i="30"/>
  <c r="V24" i="30"/>
  <c r="V37" i="30"/>
  <c r="V18" i="30"/>
  <c r="V39" i="30"/>
  <c r="V34" i="30"/>
  <c r="V33" i="30"/>
  <c r="V31" i="30"/>
  <c r="V40" i="30"/>
  <c r="V29" i="30"/>
  <c r="Y11" i="30"/>
  <c r="Y13" i="30"/>
  <c r="Y14" i="30"/>
  <c r="Y15" i="30"/>
  <c r="Y16" i="30"/>
  <c r="Y17" i="30"/>
  <c r="Y20" i="30"/>
  <c r="Y19" i="30"/>
  <c r="Y18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12" i="30"/>
  <c r="Y13" i="7"/>
  <c r="Y15" i="7"/>
  <c r="Y14" i="7"/>
  <c r="Y16" i="7"/>
  <c r="Y17" i="7"/>
  <c r="Y20" i="7"/>
  <c r="Y22" i="7"/>
  <c r="Y11" i="7"/>
  <c r="S23" i="7"/>
  <c r="M23" i="7"/>
  <c r="Q51" i="30"/>
  <c r="J11" i="19"/>
  <c r="I83" i="19"/>
  <c r="O59" i="29"/>
  <c r="P13" i="28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J11" i="27"/>
  <c r="L13" i="26"/>
  <c r="O38" i="26"/>
  <c r="N38" i="26"/>
  <c r="O36" i="26"/>
  <c r="N36" i="26"/>
  <c r="O34" i="26"/>
  <c r="N34" i="26"/>
  <c r="O30" i="26"/>
  <c r="N30" i="26"/>
  <c r="O27" i="26"/>
  <c r="N27" i="26"/>
  <c r="O20" i="26"/>
  <c r="N20" i="26"/>
  <c r="V51" i="24"/>
  <c r="A51" i="24" s="1"/>
  <c r="V56" i="24"/>
  <c r="A56" i="24" s="1"/>
  <c r="T15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29" i="13"/>
  <c r="R13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X33" i="30"/>
  <c r="A33" i="30" s="1"/>
  <c r="L33" i="30"/>
  <c r="J33" i="30"/>
  <c r="H33" i="30"/>
  <c r="F33" i="30"/>
  <c r="X32" i="30"/>
  <c r="A32" i="30" s="1"/>
  <c r="L34" i="30"/>
  <c r="J34" i="30"/>
  <c r="H34" i="30"/>
  <c r="F34" i="30"/>
  <c r="X29" i="30"/>
  <c r="A29" i="30" s="1"/>
  <c r="L37" i="30"/>
  <c r="J37" i="30"/>
  <c r="F37" i="30"/>
  <c r="X27" i="30"/>
  <c r="A27" i="30" s="1"/>
  <c r="L27" i="30"/>
  <c r="J27" i="30"/>
  <c r="H27" i="30"/>
  <c r="F27" i="30"/>
  <c r="X25" i="30"/>
  <c r="A25" i="30" s="1"/>
  <c r="L28" i="30"/>
  <c r="J28" i="30"/>
  <c r="H28" i="30"/>
  <c r="F28" i="30"/>
  <c r="X30" i="30"/>
  <c r="A30" i="30" s="1"/>
  <c r="L18" i="30"/>
  <c r="J18" i="30"/>
  <c r="H18" i="30"/>
  <c r="F18" i="30"/>
  <c r="X22" i="30"/>
  <c r="A22" i="30" s="1"/>
  <c r="L20" i="30"/>
  <c r="H20" i="30"/>
  <c r="F20" i="30"/>
  <c r="X24" i="30"/>
  <c r="A24" i="30" s="1"/>
  <c r="L16" i="30"/>
  <c r="J16" i="30"/>
  <c r="F16" i="30"/>
  <c r="X31" i="30"/>
  <c r="A31" i="30" s="1"/>
  <c r="L39" i="30"/>
  <c r="J39" i="30"/>
  <c r="H39" i="30"/>
  <c r="F39" i="30"/>
  <c r="Y42" i="25"/>
  <c r="A42" i="25" s="1"/>
  <c r="I40" i="25"/>
  <c r="Y41" i="25"/>
  <c r="A41" i="25" s="1"/>
  <c r="I32" i="25"/>
  <c r="Y39" i="25"/>
  <c r="A39" i="25" s="1"/>
  <c r="I33" i="25"/>
  <c r="Y35" i="25"/>
  <c r="A35" i="25" s="1"/>
  <c r="I25" i="25"/>
  <c r="Y49" i="25"/>
  <c r="A49" i="25" s="1"/>
  <c r="I42" i="25"/>
  <c r="Y46" i="25"/>
  <c r="A46" i="25" s="1"/>
  <c r="I45" i="25"/>
  <c r="O33" i="9"/>
  <c r="Y12" i="31"/>
  <c r="Y13" i="31"/>
  <c r="Y14" i="31"/>
  <c r="Y15" i="31"/>
  <c r="Y18" i="31"/>
  <c r="Y16" i="31"/>
  <c r="Y17" i="31"/>
  <c r="Y19" i="31"/>
  <c r="Y11" i="31"/>
  <c r="N17" i="31"/>
  <c r="X19" i="31"/>
  <c r="A19" i="31" s="1"/>
  <c r="P19" i="31"/>
  <c r="N19" i="31"/>
  <c r="H19" i="31"/>
  <c r="F19" i="31"/>
  <c r="X17" i="31"/>
  <c r="A17" i="31" s="1"/>
  <c r="P15" i="31"/>
  <c r="N15" i="31"/>
  <c r="H15" i="31"/>
  <c r="F15" i="31"/>
  <c r="P33" i="31"/>
  <c r="N33" i="31"/>
  <c r="H33" i="31"/>
  <c r="F33" i="31"/>
  <c r="N11" i="31"/>
  <c r="N20" i="31"/>
  <c r="N13" i="31"/>
  <c r="N16" i="31"/>
  <c r="N14" i="31"/>
  <c r="N27" i="31"/>
  <c r="N23" i="31"/>
  <c r="N12" i="31"/>
  <c r="J12" i="2"/>
  <c r="J11" i="2"/>
  <c r="J14" i="2"/>
  <c r="J19" i="2"/>
  <c r="J16" i="2"/>
  <c r="J17" i="2"/>
  <c r="J15" i="2"/>
  <c r="J18" i="2"/>
  <c r="X35" i="30"/>
  <c r="A35" i="30" s="1"/>
  <c r="L40" i="30"/>
  <c r="J40" i="30"/>
  <c r="H40" i="30"/>
  <c r="F40" i="30"/>
  <c r="O39" i="26"/>
  <c r="N39" i="26"/>
  <c r="O35" i="26"/>
  <c r="N35" i="26"/>
  <c r="O33" i="26"/>
  <c r="N33" i="26"/>
  <c r="O37" i="26"/>
  <c r="N37" i="26"/>
  <c r="O31" i="26"/>
  <c r="N31" i="26"/>
  <c r="O28" i="26"/>
  <c r="N28" i="26"/>
  <c r="O24" i="26"/>
  <c r="N24" i="26"/>
  <c r="O18" i="26"/>
  <c r="N18" i="26"/>
  <c r="O23" i="26"/>
  <c r="N23" i="26"/>
  <c r="O16" i="26"/>
  <c r="N16" i="26"/>
  <c r="R15" i="24"/>
  <c r="P13" i="13"/>
  <c r="T22" i="13"/>
  <c r="A22" i="13" s="1"/>
  <c r="V29" i="28"/>
  <c r="A29" i="28" s="1"/>
  <c r="V27" i="28"/>
  <c r="A27" i="28" s="1"/>
  <c r="V34" i="28"/>
  <c r="A34" i="28" s="1"/>
  <c r="J14" i="27"/>
  <c r="J16" i="27"/>
  <c r="J15" i="27"/>
  <c r="J18" i="27"/>
  <c r="J19" i="27"/>
  <c r="J20" i="27"/>
  <c r="J21" i="27"/>
  <c r="J17" i="27"/>
  <c r="J22" i="27"/>
  <c r="J23" i="27"/>
  <c r="J12" i="27"/>
  <c r="G83" i="19"/>
  <c r="H24" i="19"/>
  <c r="H23" i="19"/>
  <c r="O32" i="9"/>
  <c r="M33" i="9"/>
  <c r="L29" i="30"/>
  <c r="L26" i="30"/>
  <c r="L11" i="30"/>
  <c r="L12" i="30"/>
  <c r="L23" i="30"/>
  <c r="L22" i="30"/>
  <c r="L14" i="30"/>
  <c r="L15" i="30"/>
  <c r="L24" i="30"/>
  <c r="L19" i="30"/>
  <c r="L17" i="30"/>
  <c r="L31" i="30"/>
  <c r="L21" i="30"/>
  <c r="L25" i="30"/>
  <c r="K51" i="30"/>
  <c r="I23" i="7"/>
  <c r="N13" i="13"/>
  <c r="O57" i="24"/>
  <c r="P15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O25" i="26"/>
  <c r="N25" i="26"/>
  <c r="O15" i="26"/>
  <c r="N15" i="26"/>
  <c r="H14" i="27"/>
  <c r="H16" i="27"/>
  <c r="H15" i="27"/>
  <c r="H18" i="27"/>
  <c r="H19" i="27"/>
  <c r="H20" i="27"/>
  <c r="H21" i="27"/>
  <c r="H17" i="27"/>
  <c r="H22" i="27"/>
  <c r="H23" i="27"/>
  <c r="F12" i="27"/>
  <c r="M29" i="9"/>
  <c r="M20" i="9"/>
  <c r="M14" i="9"/>
  <c r="M11" i="9"/>
  <c r="M16" i="9"/>
  <c r="M13" i="9"/>
  <c r="M28" i="9"/>
  <c r="M22" i="9"/>
  <c r="M15" i="9"/>
  <c r="M25" i="9"/>
  <c r="M19" i="9"/>
  <c r="M21" i="9"/>
  <c r="M17" i="9"/>
  <c r="M18" i="9"/>
  <c r="M26" i="9"/>
  <c r="M31" i="9"/>
  <c r="M24" i="9"/>
  <c r="M23" i="9"/>
  <c r="M27" i="9"/>
  <c r="M30" i="9"/>
  <c r="M32" i="9"/>
  <c r="K33" i="9"/>
  <c r="M12" i="9"/>
  <c r="Y48" i="25"/>
  <c r="A48" i="25" s="1"/>
  <c r="I54" i="25"/>
  <c r="Y45" i="25"/>
  <c r="A45" i="25" s="1"/>
  <c r="I44" i="25"/>
  <c r="Y50" i="25"/>
  <c r="A50" i="25" s="1"/>
  <c r="I43" i="25"/>
  <c r="Y43" i="25"/>
  <c r="A43" i="25" s="1"/>
  <c r="I34" i="25"/>
  <c r="Y32" i="25"/>
  <c r="I41" i="25"/>
  <c r="Y44" i="25"/>
  <c r="A44" i="25" s="1"/>
  <c r="I37" i="25"/>
  <c r="K22" i="2"/>
  <c r="I22" i="2"/>
  <c r="G3" i="25"/>
  <c r="G3" i="29"/>
  <c r="X54" i="29" s="1"/>
  <c r="O35" i="28"/>
  <c r="Q59" i="29"/>
  <c r="P34" i="9"/>
  <c r="P55" i="25"/>
  <c r="O51" i="30"/>
  <c r="S51" i="30"/>
  <c r="Q23" i="7"/>
  <c r="O23" i="7"/>
  <c r="F19" i="19"/>
  <c r="H16" i="31"/>
  <c r="H20" i="31"/>
  <c r="H14" i="31"/>
  <c r="H13" i="31"/>
  <c r="H11" i="31"/>
  <c r="H27" i="31"/>
  <c r="H23" i="31"/>
  <c r="H17" i="31"/>
  <c r="H12" i="31"/>
  <c r="G22" i="2"/>
  <c r="G2" i="31"/>
  <c r="A11" i="19"/>
  <c r="F11" i="19"/>
  <c r="P17" i="31"/>
  <c r="F17" i="31"/>
  <c r="X16" i="31"/>
  <c r="A16" i="31" s="1"/>
  <c r="P23" i="31"/>
  <c r="F23" i="31"/>
  <c r="P27" i="31"/>
  <c r="F27" i="31"/>
  <c r="X12" i="31"/>
  <c r="A12" i="31" s="1"/>
  <c r="P11" i="31"/>
  <c r="X14" i="31"/>
  <c r="P13" i="31"/>
  <c r="F13" i="31"/>
  <c r="X18" i="31"/>
  <c r="A18" i="31" s="1"/>
  <c r="P14" i="31"/>
  <c r="F14" i="31"/>
  <c r="X13" i="31"/>
  <c r="P20" i="31"/>
  <c r="F20" i="31"/>
  <c r="X15" i="31"/>
  <c r="A15" i="31" s="1"/>
  <c r="P16" i="31"/>
  <c r="F16" i="31"/>
  <c r="X11" i="31"/>
  <c r="A11" i="31" s="1"/>
  <c r="F12" i="31"/>
  <c r="G2" i="2"/>
  <c r="P17" i="2"/>
  <c r="F17" i="2"/>
  <c r="P16" i="2"/>
  <c r="F16" i="2"/>
  <c r="F12" i="2"/>
  <c r="F11" i="2"/>
  <c r="F14" i="2"/>
  <c r="F19" i="2"/>
  <c r="F15" i="2"/>
  <c r="F18" i="2"/>
  <c r="F13" i="2"/>
  <c r="E22" i="2"/>
  <c r="H29" i="30"/>
  <c r="H13" i="30"/>
  <c r="H11" i="30"/>
  <c r="H26" i="30"/>
  <c r="H22" i="30"/>
  <c r="H15" i="30"/>
  <c r="H14" i="30"/>
  <c r="H31" i="30"/>
  <c r="H12" i="30"/>
  <c r="F29" i="30"/>
  <c r="F25" i="30"/>
  <c r="F23" i="30"/>
  <c r="F13" i="30"/>
  <c r="F11" i="30"/>
  <c r="F26" i="30"/>
  <c r="F22" i="30"/>
  <c r="F15" i="30"/>
  <c r="F14" i="30"/>
  <c r="F19" i="30"/>
  <c r="F17" i="30"/>
  <c r="F21" i="30"/>
  <c r="F31" i="30"/>
  <c r="F24" i="30"/>
  <c r="F12" i="30"/>
  <c r="X26" i="30"/>
  <c r="A26" i="30" s="1"/>
  <c r="J21" i="30"/>
  <c r="X19" i="30"/>
  <c r="A19" i="30" s="1"/>
  <c r="J19" i="30"/>
  <c r="X15" i="30"/>
  <c r="A15" i="30" s="1"/>
  <c r="J13" i="30"/>
  <c r="X14" i="30"/>
  <c r="A14" i="30" s="1"/>
  <c r="X16" i="30"/>
  <c r="A16" i="30" s="1"/>
  <c r="J11" i="30"/>
  <c r="X13" i="30"/>
  <c r="A13" i="30" s="1"/>
  <c r="J26" i="30"/>
  <c r="U51" i="30"/>
  <c r="I51" i="30"/>
  <c r="G51" i="30"/>
  <c r="E51" i="30"/>
  <c r="X28" i="30"/>
  <c r="A28" i="30" s="1"/>
  <c r="J24" i="30"/>
  <c r="X34" i="30"/>
  <c r="A34" i="30" s="1"/>
  <c r="J31" i="30"/>
  <c r="X23" i="30"/>
  <c r="A23" i="30" s="1"/>
  <c r="J17" i="30"/>
  <c r="X21" i="30"/>
  <c r="A21" i="30" s="1"/>
  <c r="J15" i="30"/>
  <c r="X20" i="30"/>
  <c r="A20" i="30" s="1"/>
  <c r="J22" i="30"/>
  <c r="X18" i="30"/>
  <c r="A18" i="30" s="1"/>
  <c r="J14" i="30"/>
  <c r="X17" i="30"/>
  <c r="A17" i="30" s="1"/>
  <c r="J23" i="30"/>
  <c r="X11" i="30"/>
  <c r="A11" i="30" s="1"/>
  <c r="J25" i="30"/>
  <c r="X12" i="30"/>
  <c r="A12" i="30" s="1"/>
  <c r="J29" i="30"/>
  <c r="G2" i="30"/>
  <c r="G2" i="7"/>
  <c r="P12" i="2"/>
  <c r="P14" i="2"/>
  <c r="P19" i="2"/>
  <c r="P18" i="2"/>
  <c r="V15" i="29"/>
  <c r="A15" i="29" s="1"/>
  <c r="V12" i="29"/>
  <c r="A12" i="29" s="1"/>
  <c r="V11" i="29"/>
  <c r="A11" i="29" s="1"/>
  <c r="V16" i="29"/>
  <c r="A16" i="29" s="1"/>
  <c r="G2" i="25"/>
  <c r="G2" i="9"/>
  <c r="O40" i="26"/>
  <c r="O21" i="26"/>
  <c r="O29" i="26"/>
  <c r="O32" i="26"/>
  <c r="O26" i="26"/>
  <c r="O17" i="26"/>
  <c r="O22" i="26"/>
  <c r="O19" i="26"/>
  <c r="O12" i="26"/>
  <c r="O14" i="26"/>
  <c r="O13" i="26"/>
  <c r="O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K60" i="29" s="1"/>
  <c r="G3" i="24"/>
  <c r="G3" i="13"/>
  <c r="G3" i="26"/>
  <c r="G3" i="27"/>
  <c r="V38" i="24"/>
  <c r="A38" i="24" s="1"/>
  <c r="G2" i="28"/>
  <c r="G2" i="24"/>
  <c r="I58" i="24" s="1"/>
  <c r="G2" i="13"/>
  <c r="G2" i="26"/>
  <c r="G2" i="27"/>
  <c r="H31" i="29"/>
  <c r="F19" i="29"/>
  <c r="F31" i="29"/>
  <c r="S59" i="29"/>
  <c r="M59" i="29"/>
  <c r="I59" i="29"/>
  <c r="G59" i="29"/>
  <c r="J19" i="29"/>
  <c r="V17" i="29"/>
  <c r="A20" i="29" s="1"/>
  <c r="V13" i="29"/>
  <c r="A13" i="29" s="1"/>
  <c r="J16" i="29"/>
  <c r="V19" i="29"/>
  <c r="A19" i="29" s="1"/>
  <c r="J15" i="29"/>
  <c r="V21" i="29"/>
  <c r="V14" i="29"/>
  <c r="A14" i="29" s="1"/>
  <c r="V18" i="29"/>
  <c r="A17" i="29" s="1"/>
  <c r="M35" i="28"/>
  <c r="Q35" i="28"/>
  <c r="K35" i="28"/>
  <c r="I35" i="28"/>
  <c r="G35" i="28"/>
  <c r="E35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F11" i="27"/>
  <c r="N14" i="27"/>
  <c r="A14" i="27" s="1"/>
  <c r="F14" i="27"/>
  <c r="N13" i="27"/>
  <c r="A13" i="27" s="1"/>
  <c r="F13" i="27"/>
  <c r="N12" i="27"/>
  <c r="A12" i="27" s="1"/>
  <c r="K41" i="26"/>
  <c r="I41" i="26"/>
  <c r="G41" i="26"/>
  <c r="E41" i="26"/>
  <c r="N40" i="26"/>
  <c r="N21" i="26"/>
  <c r="N29" i="26"/>
  <c r="N32" i="26"/>
  <c r="N26" i="26"/>
  <c r="N17" i="26"/>
  <c r="N22" i="26"/>
  <c r="N19" i="26"/>
  <c r="N12" i="26"/>
  <c r="N14" i="26"/>
  <c r="N13" i="26"/>
  <c r="N11" i="26"/>
  <c r="F13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15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15" i="24"/>
  <c r="H12" i="13"/>
  <c r="H18" i="13"/>
  <c r="H19" i="13"/>
  <c r="H16" i="13"/>
  <c r="H14" i="13"/>
  <c r="I30" i="13"/>
  <c r="G30" i="13"/>
  <c r="Y30" i="25"/>
  <c r="I22" i="25"/>
  <c r="Y31" i="25"/>
  <c r="I27" i="25"/>
  <c r="Y26" i="25"/>
  <c r="I21" i="25"/>
  <c r="Y34" i="25"/>
  <c r="A34" i="25" s="1"/>
  <c r="I53" i="25"/>
  <c r="Y29" i="25"/>
  <c r="I38" i="25"/>
  <c r="Y40" i="25"/>
  <c r="A40" i="25" s="1"/>
  <c r="I36" i="25"/>
  <c r="I14" i="25"/>
  <c r="I16" i="25"/>
  <c r="I12" i="25"/>
  <c r="I11" i="25"/>
  <c r="I19" i="25"/>
  <c r="I15" i="25"/>
  <c r="I18" i="25"/>
  <c r="I49" i="25"/>
  <c r="I17" i="25"/>
  <c r="I39" i="25"/>
  <c r="I29" i="25"/>
  <c r="I24" i="25"/>
  <c r="I35" i="25"/>
  <c r="I20" i="25"/>
  <c r="I23" i="25"/>
  <c r="I28" i="25"/>
  <c r="I46" i="25"/>
  <c r="I31" i="25"/>
  <c r="I26" i="25"/>
  <c r="I30" i="25"/>
  <c r="I50" i="25"/>
  <c r="I47" i="25"/>
  <c r="G16" i="25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M16" i="25"/>
  <c r="Y20" i="25"/>
  <c r="Y12" i="25"/>
  <c r="A12" i="25" s="1"/>
  <c r="I13" i="25"/>
  <c r="H34" i="9"/>
  <c r="I28" i="9"/>
  <c r="I13" i="9"/>
  <c r="I14" i="9"/>
  <c r="I11" i="9"/>
  <c r="I15" i="9"/>
  <c r="X15" i="9" s="1"/>
  <c r="I20" i="9"/>
  <c r="I19" i="9"/>
  <c r="X19" i="9" s="1"/>
  <c r="I25" i="9"/>
  <c r="I22" i="9"/>
  <c r="I21" i="9"/>
  <c r="I16" i="9"/>
  <c r="I17" i="9"/>
  <c r="I18" i="9"/>
  <c r="I26" i="9"/>
  <c r="I31" i="9"/>
  <c r="I24" i="9"/>
  <c r="I23" i="9"/>
  <c r="I27" i="9"/>
  <c r="I29" i="9"/>
  <c r="I30" i="9"/>
  <c r="I32" i="9"/>
  <c r="I33" i="9"/>
  <c r="I12" i="9"/>
  <c r="G11" i="9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0" i="13"/>
  <c r="T19" i="13"/>
  <c r="A19" i="13" s="1"/>
  <c r="T15" i="13"/>
  <c r="A15" i="13" s="1"/>
  <c r="O30" i="13"/>
  <c r="R34" i="9"/>
  <c r="T29" i="13"/>
  <c r="A29" i="13" s="1"/>
  <c r="T21" i="13"/>
  <c r="A21" i="13" s="1"/>
  <c r="T18" i="13"/>
  <c r="A18" i="13" s="1"/>
  <c r="M30" i="13"/>
  <c r="T23" i="13"/>
  <c r="A23" i="13" s="1"/>
  <c r="K23" i="7"/>
  <c r="K30" i="13"/>
  <c r="E30" i="13"/>
  <c r="N34" i="9"/>
  <c r="L34" i="9"/>
  <c r="J34" i="9"/>
  <c r="F34" i="9"/>
  <c r="G23" i="7"/>
  <c r="E23" i="7"/>
  <c r="M22" i="2"/>
  <c r="E83" i="19"/>
  <c r="F24" i="19"/>
  <c r="F23" i="19"/>
  <c r="F25" i="19"/>
  <c r="F17" i="19"/>
  <c r="F20" i="19"/>
  <c r="F21" i="19"/>
  <c r="F36" i="19"/>
  <c r="F34" i="19"/>
  <c r="F18" i="19"/>
  <c r="F29" i="19"/>
  <c r="F26" i="19"/>
  <c r="F64" i="19"/>
  <c r="F22" i="19"/>
  <c r="F28" i="19"/>
  <c r="F35" i="19"/>
  <c r="F44" i="19"/>
  <c r="F13" i="19"/>
  <c r="F15" i="19"/>
  <c r="Y15" i="19" s="1"/>
  <c r="A14" i="19"/>
  <c r="F16" i="19"/>
  <c r="A13" i="19"/>
  <c r="F14" i="19"/>
  <c r="A12" i="19"/>
  <c r="F12" i="19"/>
  <c r="X14" i="7"/>
  <c r="A14" i="7" s="1"/>
  <c r="X16" i="7"/>
  <c r="A16" i="7" s="1"/>
  <c r="X22" i="7"/>
  <c r="A22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W33" i="9"/>
  <c r="A33" i="9" s="1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X13" i="7"/>
  <c r="A13" i="7" s="1"/>
  <c r="X15" i="7"/>
  <c r="A15" i="7" s="1"/>
  <c r="X12" i="7"/>
  <c r="A12" i="7" s="1"/>
  <c r="X20" i="7"/>
  <c r="A20" i="7" s="1"/>
  <c r="X17" i="7"/>
  <c r="A17" i="7" s="1"/>
  <c r="X11" i="7"/>
  <c r="A11" i="7" s="1"/>
  <c r="X32" i="9" l="1"/>
  <c r="X31" i="9"/>
  <c r="A27" i="29"/>
  <c r="A26" i="29"/>
  <c r="X30" i="9"/>
  <c r="U31" i="28"/>
  <c r="U12" i="28"/>
  <c r="Y35" i="19"/>
  <c r="U29" i="28"/>
  <c r="X15" i="25"/>
  <c r="Y36" i="19"/>
  <c r="X28" i="9"/>
  <c r="U30" i="28"/>
  <c r="Y26" i="19"/>
  <c r="Y25" i="19"/>
  <c r="X11" i="9"/>
  <c r="A15" i="25"/>
  <c r="U22" i="28"/>
  <c r="U26" i="28"/>
  <c r="U14" i="28"/>
  <c r="X33" i="9"/>
  <c r="Y47" i="36"/>
  <c r="Y23" i="36"/>
  <c r="U23" i="28"/>
  <c r="A28" i="29"/>
  <c r="A23" i="29"/>
  <c r="A18" i="29"/>
  <c r="A21" i="29"/>
  <c r="X24" i="9"/>
  <c r="X25" i="9"/>
  <c r="X22" i="9"/>
  <c r="X12" i="9"/>
  <c r="X29" i="9"/>
  <c r="X23" i="9"/>
  <c r="X18" i="9"/>
  <c r="X16" i="9"/>
  <c r="X26" i="9"/>
  <c r="X21" i="9"/>
  <c r="X13" i="9"/>
  <c r="X27" i="9"/>
  <c r="X20" i="9"/>
  <c r="X17" i="9"/>
  <c r="X14" i="9"/>
  <c r="W20" i="7"/>
  <c r="Y28" i="19"/>
  <c r="Y29" i="19"/>
  <c r="Y13" i="19"/>
  <c r="Y12" i="19"/>
  <c r="Y16" i="19"/>
  <c r="Y44" i="19"/>
  <c r="Y64" i="19"/>
  <c r="Y34" i="19"/>
  <c r="Y14" i="19"/>
  <c r="Y22" i="19"/>
  <c r="Y18" i="19"/>
  <c r="Y20" i="19"/>
  <c r="Y19" i="19"/>
  <c r="Y21" i="19"/>
  <c r="Y24" i="19"/>
  <c r="Y17" i="19"/>
  <c r="Y23" i="19"/>
  <c r="Y11" i="19"/>
  <c r="A21" i="25"/>
  <c r="W15" i="7"/>
  <c r="W17" i="7"/>
  <c r="W13" i="7"/>
  <c r="W12" i="7"/>
  <c r="W21" i="7"/>
  <c r="W18" i="7"/>
  <c r="W14" i="7"/>
  <c r="W11" i="7"/>
  <c r="U21" i="28"/>
  <c r="U16" i="28"/>
  <c r="S21" i="13"/>
  <c r="S17" i="13"/>
  <c r="W13" i="2"/>
  <c r="W12" i="31"/>
  <c r="W14" i="31"/>
  <c r="W33" i="30"/>
  <c r="W11" i="2"/>
  <c r="W15" i="2"/>
  <c r="W12" i="30"/>
  <c r="W17" i="2"/>
  <c r="AC14" i="35"/>
  <c r="AC16" i="35"/>
  <c r="W20" i="31"/>
  <c r="AC27" i="35"/>
  <c r="AC15" i="35"/>
  <c r="AC23" i="35"/>
  <c r="AC19" i="35"/>
  <c r="AC31" i="35"/>
  <c r="AC24" i="35"/>
  <c r="AC32" i="35"/>
  <c r="W16" i="30"/>
  <c r="AC17" i="35"/>
  <c r="AC18" i="35"/>
  <c r="AC21" i="35"/>
  <c r="AC25" i="35"/>
  <c r="AC28" i="35"/>
  <c r="AC29" i="35"/>
  <c r="S20" i="13"/>
  <c r="W20" i="30"/>
  <c r="W18" i="30"/>
  <c r="W16" i="2"/>
  <c r="W13" i="31"/>
  <c r="W17" i="31"/>
  <c r="W18" i="2"/>
  <c r="AC30" i="35"/>
  <c r="AC33" i="35"/>
  <c r="W12" i="2"/>
  <c r="W33" i="31"/>
  <c r="W19" i="2"/>
  <c r="W19" i="31"/>
  <c r="W14" i="2"/>
  <c r="S27" i="13"/>
  <c r="U54" i="29"/>
  <c r="W11" i="30"/>
  <c r="W17" i="30"/>
  <c r="W22" i="30"/>
  <c r="W23" i="30"/>
  <c r="W27" i="30"/>
  <c r="W24" i="30"/>
  <c r="W19" i="30"/>
  <c r="W26" i="30"/>
  <c r="W25" i="30"/>
  <c r="W39" i="30"/>
  <c r="W37" i="30"/>
  <c r="W34" i="30"/>
  <c r="W31" i="30"/>
  <c r="W14" i="30"/>
  <c r="W29" i="30"/>
  <c r="W21" i="30"/>
  <c r="W15" i="30"/>
  <c r="W13" i="30"/>
  <c r="W40" i="30"/>
  <c r="W28" i="30"/>
  <c r="AC20" i="35"/>
  <c r="AC26" i="35"/>
  <c r="AC11" i="35"/>
  <c r="AC22" i="35"/>
  <c r="AC12" i="35"/>
  <c r="AC13" i="35"/>
  <c r="X42" i="25"/>
  <c r="X44" i="25"/>
  <c r="X32" i="25"/>
  <c r="X28" i="25"/>
  <c r="X49" i="25"/>
  <c r="X39" i="25"/>
  <c r="X22" i="25"/>
  <c r="X20" i="25"/>
  <c r="X54" i="25"/>
  <c r="X37" i="25"/>
  <c r="X36" i="25"/>
  <c r="X26" i="25"/>
  <c r="X46" i="25"/>
  <c r="X30" i="25"/>
  <c r="X24" i="25"/>
  <c r="X29" i="25"/>
  <c r="X12" i="25"/>
  <c r="X13" i="25"/>
  <c r="X16" i="25"/>
  <c r="X47" i="25"/>
  <c r="X50" i="25"/>
  <c r="X34" i="25"/>
  <c r="X33" i="25"/>
  <c r="X25" i="25"/>
  <c r="X41" i="25"/>
  <c r="X38" i="25"/>
  <c r="X21" i="25"/>
  <c r="X17" i="25"/>
  <c r="X19" i="25"/>
  <c r="X43" i="25"/>
  <c r="X45" i="25"/>
  <c r="X40" i="25"/>
  <c r="X23" i="25"/>
  <c r="X53" i="25"/>
  <c r="X27" i="25"/>
  <c r="X31" i="25"/>
  <c r="X35" i="25"/>
  <c r="X14" i="25"/>
  <c r="X18" i="25"/>
  <c r="AA51" i="25"/>
  <c r="AA53" i="25"/>
  <c r="AA52" i="25"/>
  <c r="X11" i="25"/>
  <c r="W16" i="31"/>
  <c r="W23" i="31"/>
  <c r="W11" i="31"/>
  <c r="W15" i="31"/>
  <c r="W27" i="31"/>
  <c r="U13" i="28"/>
  <c r="S18" i="13"/>
  <c r="S11" i="13"/>
  <c r="S13" i="13"/>
  <c r="S12" i="13"/>
  <c r="S29" i="13"/>
  <c r="S16" i="13"/>
  <c r="S19" i="13"/>
  <c r="S25" i="13"/>
  <c r="S14" i="13"/>
  <c r="S26" i="13"/>
  <c r="A14" i="31"/>
  <c r="A13" i="31"/>
  <c r="U48" i="24"/>
  <c r="U42" i="24"/>
  <c r="U35" i="24"/>
  <c r="U27" i="24"/>
  <c r="U30" i="24"/>
  <c r="U24" i="24"/>
  <c r="U12" i="24"/>
  <c r="U13" i="24"/>
  <c r="U14" i="24"/>
  <c r="U26" i="24"/>
  <c r="U53" i="24"/>
  <c r="U46" i="24"/>
  <c r="U41" i="24"/>
  <c r="U33" i="24"/>
  <c r="U23" i="24"/>
  <c r="U28" i="24"/>
  <c r="U34" i="24"/>
  <c r="U11" i="24"/>
  <c r="U43" i="24"/>
  <c r="U17" i="24"/>
  <c r="U56" i="24"/>
  <c r="U52" i="24"/>
  <c r="U50" i="24"/>
  <c r="U45" i="24"/>
  <c r="U39" i="24"/>
  <c r="U32" i="24"/>
  <c r="U22" i="24"/>
  <c r="U37" i="24"/>
  <c r="U19" i="24"/>
  <c r="U47" i="24"/>
  <c r="U16" i="24"/>
  <c r="U55" i="24"/>
  <c r="U51" i="24"/>
  <c r="U15" i="24"/>
  <c r="U49" i="24"/>
  <c r="U44" i="24"/>
  <c r="U38" i="24"/>
  <c r="U29" i="24"/>
  <c r="U20" i="24"/>
  <c r="U21" i="24"/>
  <c r="U36" i="24"/>
  <c r="U25" i="24"/>
  <c r="U40" i="24"/>
  <c r="U31" i="24"/>
  <c r="U54" i="24"/>
  <c r="U18" i="24"/>
  <c r="U20" i="29"/>
  <c r="U13" i="29"/>
  <c r="U27" i="29"/>
  <c r="U14" i="29"/>
  <c r="U26" i="29"/>
  <c r="U12" i="29"/>
  <c r="U11" i="29"/>
  <c r="U18" i="29"/>
  <c r="U29" i="29"/>
  <c r="U31" i="29"/>
  <c r="U44" i="29"/>
  <c r="U32" i="29"/>
  <c r="U49" i="29"/>
  <c r="U22" i="29"/>
  <c r="U28" i="29"/>
  <c r="U24" i="29"/>
  <c r="U36" i="29"/>
  <c r="U58" i="29"/>
  <c r="U46" i="29"/>
  <c r="U55" i="29"/>
  <c r="U41" i="29"/>
  <c r="U35" i="29"/>
  <c r="U42" i="29"/>
  <c r="U23" i="29"/>
  <c r="U33" i="29"/>
  <c r="U15" i="29"/>
  <c r="U19" i="29"/>
  <c r="U48" i="29"/>
  <c r="U39" i="29"/>
  <c r="U51" i="29"/>
  <c r="U40" i="29"/>
  <c r="U25" i="29"/>
  <c r="U30" i="29"/>
  <c r="U47" i="29"/>
  <c r="U53" i="29"/>
  <c r="U38" i="29"/>
  <c r="U43" i="29"/>
  <c r="U56" i="29"/>
  <c r="U21" i="29"/>
  <c r="U17" i="29"/>
  <c r="U16" i="29"/>
  <c r="E35" i="31"/>
  <c r="AA28" i="9"/>
  <c r="X52" i="29"/>
  <c r="X53" i="29"/>
  <c r="A18" i="25"/>
  <c r="A14" i="35"/>
  <c r="A12" i="35"/>
  <c r="A33" i="25"/>
  <c r="A13" i="25"/>
  <c r="A30" i="25"/>
  <c r="A29" i="25"/>
  <c r="A26" i="25"/>
  <c r="A24" i="25"/>
  <c r="Z46" i="30"/>
  <c r="Z37" i="30"/>
  <c r="Z44" i="30"/>
  <c r="Z50" i="30"/>
  <c r="Z42" i="30"/>
  <c r="Z38" i="30"/>
  <c r="Z39" i="30"/>
  <c r="Z41" i="30"/>
  <c r="Z36" i="30"/>
  <c r="Z45" i="30"/>
  <c r="Z40" i="30"/>
  <c r="Z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V33" i="9"/>
  <c r="X30" i="24"/>
  <c r="M11" i="26"/>
  <c r="AA35" i="25"/>
  <c r="F35" i="9"/>
  <c r="M40" i="26"/>
  <c r="M21" i="26"/>
  <c r="M12" i="26"/>
  <c r="M19" i="26"/>
  <c r="M15" i="26"/>
  <c r="O58" i="24"/>
  <c r="M17" i="27"/>
  <c r="M29" i="26"/>
  <c r="M17" i="26"/>
  <c r="M26" i="26"/>
  <c r="M22" i="26"/>
  <c r="M14" i="26"/>
  <c r="M32" i="26"/>
  <c r="K35" i="31"/>
  <c r="M18" i="27"/>
  <c r="I35" i="31"/>
  <c r="G35" i="31"/>
  <c r="M35" i="31"/>
  <c r="Z12" i="2"/>
  <c r="AA54" i="25"/>
  <c r="M14" i="27"/>
  <c r="M22" i="27"/>
  <c r="J35" i="9"/>
  <c r="P20" i="27"/>
  <c r="M13" i="27"/>
  <c r="M21" i="27"/>
  <c r="M15" i="27"/>
  <c r="M19" i="27"/>
  <c r="M13" i="26"/>
  <c r="I42" i="26"/>
  <c r="M23" i="27"/>
  <c r="M20" i="27"/>
  <c r="M16" i="27"/>
  <c r="Z17" i="31"/>
  <c r="Z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34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29" i="13"/>
  <c r="V19" i="13"/>
  <c r="V16" i="13"/>
  <c r="V12" i="13"/>
  <c r="V20" i="13"/>
  <c r="V18" i="13"/>
  <c r="V13" i="13"/>
  <c r="V21" i="13"/>
  <c r="V15" i="13"/>
  <c r="V22" i="13"/>
  <c r="M25" i="26"/>
  <c r="M23" i="26"/>
  <c r="M18" i="26"/>
  <c r="M24" i="26"/>
  <c r="M28" i="26"/>
  <c r="M31" i="26"/>
  <c r="M37" i="26"/>
  <c r="M33" i="26"/>
  <c r="M35" i="26"/>
  <c r="M39" i="26"/>
  <c r="M20" i="26"/>
  <c r="M27" i="26"/>
  <c r="M16" i="26"/>
  <c r="M36" i="26"/>
  <c r="M30" i="26"/>
  <c r="M34" i="26"/>
  <c r="M38" i="26"/>
  <c r="P36" i="26"/>
  <c r="P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X48" i="29"/>
  <c r="X29" i="29"/>
  <c r="X38" i="29"/>
  <c r="X41" i="29"/>
  <c r="X40" i="29"/>
  <c r="X42" i="29"/>
  <c r="X50" i="29"/>
  <c r="X49" i="29"/>
  <c r="X58" i="29"/>
  <c r="Q60" i="29"/>
  <c r="Y12" i="7"/>
  <c r="Z12" i="7" s="1"/>
  <c r="M23" i="2"/>
  <c r="E23" i="2"/>
  <c r="Q52" i="30"/>
  <c r="S24" i="7"/>
  <c r="M24" i="7"/>
  <c r="Z29" i="30"/>
  <c r="Z33" i="30"/>
  <c r="Z35" i="30"/>
  <c r="Z31" i="30"/>
  <c r="Z22" i="30"/>
  <c r="Z25" i="30"/>
  <c r="Z27" i="30"/>
  <c r="Z32" i="30"/>
  <c r="Z12" i="30"/>
  <c r="Z24" i="30"/>
  <c r="Z30" i="30"/>
  <c r="I25" i="27"/>
  <c r="P14" i="26"/>
  <c r="P17" i="26"/>
  <c r="P21" i="26"/>
  <c r="P18" i="26"/>
  <c r="P28" i="26"/>
  <c r="P37" i="26"/>
  <c r="P35" i="26"/>
  <c r="P20" i="26"/>
  <c r="P27" i="26"/>
  <c r="P30" i="26"/>
  <c r="P34" i="26"/>
  <c r="P13" i="26"/>
  <c r="P12" i="26"/>
  <c r="P22" i="26"/>
  <c r="P26" i="26"/>
  <c r="P29" i="26"/>
  <c r="P40" i="26"/>
  <c r="P25" i="26"/>
  <c r="P16" i="26"/>
  <c r="P23" i="26"/>
  <c r="P24" i="26"/>
  <c r="P31" i="26"/>
  <c r="P33" i="26"/>
  <c r="P39" i="26"/>
  <c r="M58" i="24"/>
  <c r="Q58" i="24"/>
  <c r="U24" i="7"/>
  <c r="O24" i="7"/>
  <c r="Q24" i="7"/>
  <c r="I24" i="7"/>
  <c r="E42" i="26"/>
  <c r="G42" i="26"/>
  <c r="A14" i="24"/>
  <c r="X24" i="24"/>
  <c r="M36" i="28"/>
  <c r="I36" i="28"/>
  <c r="G36" i="28"/>
  <c r="E36" i="28"/>
  <c r="Q36" i="28"/>
  <c r="O36" i="28"/>
  <c r="K36" i="28"/>
  <c r="G25" i="27"/>
  <c r="E25" i="27"/>
  <c r="K25" i="27"/>
  <c r="I23" i="2"/>
  <c r="G23" i="2"/>
  <c r="K23" i="2"/>
  <c r="K52" i="30"/>
  <c r="S52" i="30"/>
  <c r="O52" i="30"/>
  <c r="M52" i="30"/>
  <c r="AA43" i="25"/>
  <c r="G31" i="13"/>
  <c r="Q31" i="13"/>
  <c r="O31" i="13"/>
  <c r="I31" i="13"/>
  <c r="K31" i="13"/>
  <c r="E31" i="13"/>
  <c r="M31" i="13"/>
  <c r="P11" i="26"/>
  <c r="P19" i="26"/>
  <c r="P32" i="26"/>
  <c r="P15" i="26"/>
  <c r="K42" i="26"/>
  <c r="R35" i="9"/>
  <c r="L35" i="9"/>
  <c r="N35" i="9"/>
  <c r="H35" i="9"/>
  <c r="P35" i="9"/>
  <c r="J56" i="25"/>
  <c r="H56" i="25"/>
  <c r="F56" i="25"/>
  <c r="R56" i="25"/>
  <c r="N56" i="25"/>
  <c r="P56" i="25"/>
  <c r="L56" i="25"/>
  <c r="Z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Y33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Z17" i="30"/>
  <c r="Z18" i="30"/>
  <c r="Z20" i="30"/>
  <c r="Z23" i="30"/>
  <c r="Z34" i="30"/>
  <c r="Z28" i="30"/>
  <c r="Z13" i="30"/>
  <c r="Z16" i="30"/>
  <c r="Z14" i="30"/>
  <c r="Z15" i="30"/>
  <c r="Z19" i="30"/>
  <c r="Z26" i="30"/>
  <c r="Z14" i="7"/>
  <c r="G24" i="7"/>
  <c r="X16" i="29"/>
  <c r="X15" i="29"/>
  <c r="X33" i="29"/>
  <c r="X32" i="29"/>
  <c r="X12" i="29"/>
  <c r="X11" i="29"/>
  <c r="Z16" i="2"/>
  <c r="Z13" i="2"/>
  <c r="Z15" i="2"/>
  <c r="Z21" i="2"/>
  <c r="Z14" i="2"/>
  <c r="Z11" i="2"/>
  <c r="Z17" i="2"/>
  <c r="Z18" i="2"/>
  <c r="Z13" i="31"/>
  <c r="Z15" i="31"/>
  <c r="A18" i="24"/>
  <c r="X11" i="24"/>
  <c r="X27" i="24"/>
  <c r="X15" i="24"/>
  <c r="X55" i="24"/>
  <c r="X44" i="24"/>
  <c r="X46" i="24"/>
  <c r="X35" i="24"/>
  <c r="X18" i="24"/>
  <c r="Z11" i="31"/>
  <c r="Z18" i="31"/>
  <c r="Z12" i="31"/>
  <c r="Z16" i="31"/>
  <c r="Z21" i="30"/>
  <c r="G52" i="30"/>
  <c r="U52" i="30"/>
  <c r="I52" i="30"/>
  <c r="E52" i="30"/>
  <c r="Z11" i="30"/>
  <c r="K24" i="7"/>
  <c r="E24" i="7"/>
  <c r="Z20" i="7"/>
  <c r="Z22" i="7"/>
  <c r="Z17" i="7"/>
  <c r="Z11" i="7"/>
  <c r="Z16" i="7"/>
  <c r="Z13" i="7"/>
  <c r="Z15" i="7"/>
  <c r="X36" i="29"/>
  <c r="X23" i="29"/>
  <c r="X35" i="29"/>
  <c r="X14" i="29"/>
  <c r="X19" i="29"/>
  <c r="X20" i="29"/>
  <c r="X43" i="29"/>
  <c r="X44" i="29"/>
  <c r="X24" i="29"/>
  <c r="X27" i="29"/>
  <c r="X25" i="29"/>
  <c r="X31" i="29"/>
  <c r="X30" i="29"/>
  <c r="X39" i="29"/>
  <c r="X47" i="29"/>
  <c r="S60" i="29"/>
  <c r="X17" i="29"/>
  <c r="X26" i="29"/>
  <c r="X13" i="29"/>
  <c r="X22" i="29"/>
  <c r="X46" i="29"/>
  <c r="X37" i="29"/>
  <c r="X45" i="29"/>
  <c r="X18" i="29"/>
  <c r="X21" i="29"/>
  <c r="X34" i="29"/>
  <c r="X51" i="29"/>
  <c r="X28" i="29"/>
  <c r="E60" i="29"/>
  <c r="O60" i="29"/>
  <c r="M60" i="29"/>
  <c r="I60" i="29"/>
  <c r="G60" i="29"/>
</calcChain>
</file>

<file path=xl/sharedStrings.xml><?xml version="1.0" encoding="utf-8"?>
<sst xmlns="http://schemas.openxmlformats.org/spreadsheetml/2006/main" count="2126" uniqueCount="862">
  <si>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</si>
  <si>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</si>
  <si>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</si>
  <si>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</si>
  <si>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</si>
  <si>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</si>
  <si>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</si>
  <si>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</si>
  <si>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</si>
  <si>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</si>
  <si>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</si>
  <si>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</si>
  <si>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</si>
  <si>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</si>
  <si>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</si>
  <si>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Challenge Finistère</t>
  </si>
  <si>
    <t>Challenge Dugesclin Dinan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</si>
  <si>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</si>
  <si>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</si>
  <si>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</si>
  <si>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</si>
  <si>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</si>
  <si>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</si>
  <si>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</si>
  <si>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</si>
  <si>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</si>
  <si>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</si>
  <si>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</si>
  <si>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H2032 ST Brieuc</t>
  </si>
  <si>
    <t>FDJ MACON</t>
  </si>
  <si>
    <t>Challenge Dugesclin</t>
  </si>
  <si>
    <t>13-14/04/2024</t>
  </si>
  <si>
    <t>25-26/05/2024</t>
  </si>
  <si>
    <t>22-23/06/2024</t>
  </si>
  <si>
    <t>04-05/11/2023</t>
  </si>
  <si>
    <t>16-17/12/2023</t>
  </si>
  <si>
    <t>10-11/02/2024</t>
  </si>
  <si>
    <t>23-24/03/2024</t>
  </si>
  <si>
    <t>14-15/10/2023</t>
  </si>
  <si>
    <t xml:space="preserve">Challenge de l'Hermine Rennes </t>
  </si>
  <si>
    <t>27-28/01/2024</t>
  </si>
  <si>
    <t>30-31/03/2024</t>
  </si>
  <si>
    <t>Championnat de France N2-N3</t>
  </si>
  <si>
    <t>2-3/12/2023</t>
  </si>
  <si>
    <t>20-21/01/2024</t>
  </si>
  <si>
    <t>2-3/03/2024</t>
  </si>
  <si>
    <t>6-7/04/2024</t>
  </si>
  <si>
    <t>CN 1 Val d'Europe</t>
  </si>
  <si>
    <t>Classement Epée Hommes Vétérans</t>
  </si>
  <si>
    <t xml:space="preserve">CN 2 Le Havre </t>
  </si>
  <si>
    <t>9-10/12/2023</t>
  </si>
  <si>
    <t>Coupe de Bretagne 2 ?</t>
  </si>
  <si>
    <t>13-14/01/2024</t>
  </si>
  <si>
    <t>CN 3 Thionville</t>
  </si>
  <si>
    <t>CN4 Clermont-Ferrand</t>
  </si>
  <si>
    <t>Championnat de Bretagne ?</t>
  </si>
  <si>
    <t>CN 5 Poitiers</t>
  </si>
  <si>
    <t>18-19/05/2024</t>
  </si>
  <si>
    <t>Championnat de France Nantes</t>
  </si>
  <si>
    <t>Classement Epée  Dames Vétérans</t>
  </si>
  <si>
    <t>Classement Epée hommes Senior</t>
  </si>
  <si>
    <t>Classement Epée Dames Senior</t>
  </si>
  <si>
    <t>CN1 Livry Gargan</t>
  </si>
  <si>
    <t>14_15/1à 2024</t>
  </si>
  <si>
    <t>CN1 Macon</t>
  </si>
  <si>
    <t>CN2 Dijon</t>
  </si>
  <si>
    <t>18-19/11/2023</t>
  </si>
  <si>
    <t>CN 2 Monaco</t>
  </si>
  <si>
    <t>25-26/11/2023</t>
  </si>
  <si>
    <t>Coupe de Bretagne ?</t>
  </si>
  <si>
    <t>CN 3Lisieux</t>
  </si>
  <si>
    <t xml:space="preserve">CN 4 Talence </t>
  </si>
  <si>
    <t>24-25/02/2024</t>
  </si>
  <si>
    <t xml:space="preserve">CN4 Chalon en Chammpagne </t>
  </si>
  <si>
    <t>4-5/05/2024</t>
  </si>
  <si>
    <t>CN 5 Toulon</t>
  </si>
  <si>
    <t>CN 5 Colmar</t>
  </si>
  <si>
    <t>20-21/04/2024</t>
  </si>
  <si>
    <t>1-2/06/2024</t>
  </si>
  <si>
    <t xml:space="preserve">Challenge Haute Vilaine </t>
  </si>
  <si>
    <t>Challenge Haute Vilaine Cesson</t>
  </si>
  <si>
    <t>Championnatde France N2-N3</t>
  </si>
  <si>
    <t>Classement Epée Dames M20</t>
  </si>
  <si>
    <t>Classement Epée Hommes M20</t>
  </si>
  <si>
    <t>7-8/10/2023</t>
  </si>
  <si>
    <t>CN 1 Le Havre</t>
  </si>
  <si>
    <t>CN 2 Toulouse</t>
  </si>
  <si>
    <t>Challenge de l'Hermine  Rennes</t>
  </si>
  <si>
    <t>Championnat de Bretagne  St Malo</t>
  </si>
  <si>
    <t>3-4/02/2024</t>
  </si>
  <si>
    <t>CN 3 Nevers</t>
  </si>
  <si>
    <t>Championnat de France Le Havre</t>
  </si>
  <si>
    <t>11-12/05/2024</t>
  </si>
  <si>
    <t>Classement Epée Hommes M17</t>
  </si>
  <si>
    <t>Classement Epée Dames M17</t>
  </si>
  <si>
    <t>CN 1 Dax</t>
  </si>
  <si>
    <t>21-22/10/2023</t>
  </si>
  <si>
    <t>CN 2 Chaumont</t>
  </si>
  <si>
    <t>Championnat de Bretagne  st Malo</t>
  </si>
  <si>
    <t>CN 3 Laon</t>
  </si>
  <si>
    <t>9-10/03/2024</t>
  </si>
  <si>
    <t>Championnat de France Douai</t>
  </si>
  <si>
    <t>Classement Epée Hommes M15</t>
  </si>
  <si>
    <t>Classement Epée Dames M15</t>
  </si>
  <si>
    <t>H2032 Zone  Orléans</t>
  </si>
  <si>
    <t>H2032 1/2 finale Livry Gargan</t>
  </si>
  <si>
    <t>Classement Epée Hommes M13</t>
  </si>
  <si>
    <t>Classement Epée Dames M13</t>
  </si>
  <si>
    <t xml:space="preserve"> CR 1 Challenge de l'Hermine Rennes </t>
  </si>
  <si>
    <t>CR2 St Méen</t>
  </si>
  <si>
    <t>CR 3 Morlaix</t>
  </si>
  <si>
    <t>Challenge de France ?</t>
  </si>
  <si>
    <t>Classement Epée Hommes M11</t>
  </si>
  <si>
    <t>Classement Epée Dames M11</t>
  </si>
  <si>
    <t xml:space="preserve">Coupe du Futur 1 Lorient </t>
  </si>
  <si>
    <t xml:space="preserve">Coupe du Futur 2  St Méen </t>
  </si>
  <si>
    <t>Coupe du futur 3 Morlaix</t>
  </si>
  <si>
    <t>Coupe du futur1 Lorient</t>
  </si>
  <si>
    <t xml:space="preserve">Coupe du futur 2 St Méen </t>
  </si>
  <si>
    <t>Classement Epée Hommes M9</t>
  </si>
  <si>
    <t>Classement Epée Dames M9</t>
  </si>
  <si>
    <t>TARIN</t>
  </si>
  <si>
    <t>Lana</t>
  </si>
  <si>
    <t>ERM</t>
  </si>
  <si>
    <t>DEWILDE</t>
  </si>
  <si>
    <t>Sarah</t>
  </si>
  <si>
    <t>JA St MALO</t>
  </si>
  <si>
    <t>TOYER</t>
  </si>
  <si>
    <t>Léa</t>
  </si>
  <si>
    <t>DREYER</t>
  </si>
  <si>
    <t>Charlotte</t>
  </si>
  <si>
    <t>RENNES CSG</t>
  </si>
  <si>
    <t>LALLIIAS</t>
  </si>
  <si>
    <t>sarah-Lison</t>
  </si>
  <si>
    <t>CARTIER-BOURHIS</t>
  </si>
  <si>
    <t>Anne-Lise</t>
  </si>
  <si>
    <t>EYNAR</t>
  </si>
  <si>
    <t>EWEN</t>
  </si>
  <si>
    <t>LEMOULINIER</t>
  </si>
  <si>
    <t>Victor</t>
  </si>
  <si>
    <t>Rennes CSG</t>
  </si>
  <si>
    <t>PEREZ</t>
  </si>
  <si>
    <t>Ilan</t>
  </si>
  <si>
    <t>GRIMAULT</t>
  </si>
  <si>
    <t>Martin</t>
  </si>
  <si>
    <t>RAMBAUD</t>
  </si>
  <si>
    <t>Noé</t>
  </si>
  <si>
    <t>RIOS-RUIZ</t>
  </si>
  <si>
    <t>Mathieu</t>
  </si>
  <si>
    <t>TROUVE</t>
  </si>
  <si>
    <t>Louen</t>
  </si>
  <si>
    <t>ORRIOLS-REDOUTE</t>
  </si>
  <si>
    <t>Antoine</t>
  </si>
  <si>
    <t>HOUZE</t>
  </si>
  <si>
    <t>Alexy</t>
  </si>
  <si>
    <t>ROTH</t>
  </si>
  <si>
    <t>Gaspard</t>
  </si>
  <si>
    <t>COLLETTE</t>
  </si>
  <si>
    <t>Enzo</t>
  </si>
  <si>
    <t>ROTY</t>
  </si>
  <si>
    <t>Andréo</t>
  </si>
  <si>
    <t>Mathéo</t>
  </si>
  <si>
    <t>LEVISSE</t>
  </si>
  <si>
    <t>Tristan</t>
  </si>
  <si>
    <t>Lorient SE</t>
  </si>
  <si>
    <t>DJERMOUN LE CORRE</t>
  </si>
  <si>
    <t>Zyan</t>
  </si>
  <si>
    <t>BLANJOIE</t>
  </si>
  <si>
    <t>NEDELLEC</t>
  </si>
  <si>
    <t>YSTE</t>
  </si>
  <si>
    <t>VIDAL-JAFFRE</t>
  </si>
  <si>
    <t>Aaron</t>
  </si>
  <si>
    <t>Jocelyn</t>
  </si>
  <si>
    <t>EMILY</t>
  </si>
  <si>
    <t>Sacha</t>
  </si>
  <si>
    <t>Quimper EC</t>
  </si>
  <si>
    <t>Gustave</t>
  </si>
  <si>
    <t>BONNAFONS</t>
  </si>
  <si>
    <t>AVENDANO</t>
  </si>
  <si>
    <t>Aël</t>
  </si>
  <si>
    <t>Vitrée</t>
  </si>
  <si>
    <t>FISCHER-KERAVAL</t>
  </si>
  <si>
    <t>Morlaix EC</t>
  </si>
  <si>
    <t>POUCH</t>
  </si>
  <si>
    <t>Zoé</t>
  </si>
  <si>
    <t>EQC</t>
  </si>
  <si>
    <t>DESSAPT</t>
  </si>
  <si>
    <t>Emia</t>
  </si>
  <si>
    <t>lorient SE</t>
  </si>
  <si>
    <t>GARGOT</t>
  </si>
  <si>
    <t>THOUILLY</t>
  </si>
  <si>
    <t>Pernelle</t>
  </si>
  <si>
    <t>SALMON-RADENAC</t>
  </si>
  <si>
    <t>Soline</t>
  </si>
  <si>
    <t>HAYS</t>
  </si>
  <si>
    <t>Kézia</t>
  </si>
  <si>
    <t>JAMME</t>
  </si>
  <si>
    <t>Paulin</t>
  </si>
  <si>
    <t>LE PEUCH</t>
  </si>
  <si>
    <t>Camille</t>
  </si>
  <si>
    <t>DEMAIMAY</t>
  </si>
  <si>
    <t>Oscar</t>
  </si>
  <si>
    <t>CHAILLOU- ALLARD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</si>
  <si>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</si>
  <si>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</si>
  <si>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</si>
  <si>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</si>
  <si>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</si>
  <si>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</si>
  <si>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</si>
  <si>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</si>
  <si>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Maël</t>
  </si>
  <si>
    <t>PIVETEAU</t>
  </si>
  <si>
    <t>Alex</t>
  </si>
  <si>
    <t>COURIOL</t>
  </si>
  <si>
    <t>CORMIER</t>
  </si>
  <si>
    <t>Noa</t>
  </si>
  <si>
    <t>DIOURIS</t>
  </si>
  <si>
    <t>louis</t>
  </si>
  <si>
    <t>PANEL</t>
  </si>
  <si>
    <t>Titouan</t>
  </si>
  <si>
    <t>ROUL</t>
  </si>
  <si>
    <t>Noam</t>
  </si>
  <si>
    <t>LE GLUHER</t>
  </si>
  <si>
    <t>Louis</t>
  </si>
  <si>
    <t>Auray SE</t>
  </si>
  <si>
    <t>DARCOURT</t>
  </si>
  <si>
    <t>Siméon</t>
  </si>
  <si>
    <t>EON</t>
  </si>
  <si>
    <t>Derc'Hen</t>
  </si>
  <si>
    <t>MOQUET</t>
  </si>
  <si>
    <t>Maxence</t>
  </si>
  <si>
    <t>ESVAN</t>
  </si>
  <si>
    <t>Théo</t>
  </si>
  <si>
    <t>FICHE</t>
  </si>
  <si>
    <t>Matis</t>
  </si>
  <si>
    <t>SIMON</t>
  </si>
  <si>
    <t>Robin</t>
  </si>
  <si>
    <t>Brest Rapière</t>
  </si>
  <si>
    <t>AUFFRET</t>
  </si>
  <si>
    <t>Nolan</t>
  </si>
  <si>
    <t>LEVALLOIS</t>
  </si>
  <si>
    <t>Maëlys</t>
  </si>
  <si>
    <t>JA St Malo</t>
  </si>
  <si>
    <t>GASPARD</t>
  </si>
  <si>
    <t>Faustine</t>
  </si>
  <si>
    <t>LORIENT SE</t>
  </si>
  <si>
    <t>LASMAR</t>
  </si>
  <si>
    <t>Lina</t>
  </si>
  <si>
    <t>TUAL LEFEVRE</t>
  </si>
  <si>
    <t>Annaelle</t>
  </si>
  <si>
    <t>CHAMAYOU</t>
  </si>
  <si>
    <t>Apolline</t>
  </si>
  <si>
    <t>AURAY ES</t>
  </si>
  <si>
    <t>BOULET</t>
  </si>
  <si>
    <t>Salomé</t>
  </si>
  <si>
    <t>DELAUNAY</t>
  </si>
  <si>
    <t>Anouk</t>
  </si>
  <si>
    <t>LEMAIRE</t>
  </si>
  <si>
    <t>Johann</t>
  </si>
  <si>
    <t>Ronan</t>
  </si>
  <si>
    <t>LEFEVRE</t>
  </si>
  <si>
    <t>Samuel</t>
  </si>
  <si>
    <t>MACE</t>
  </si>
  <si>
    <t>BREST RAPIERE</t>
  </si>
  <si>
    <t>LEGRAND</t>
  </si>
  <si>
    <t>Jarod</t>
  </si>
  <si>
    <t>LION</t>
  </si>
  <si>
    <t>Benjamin</t>
  </si>
  <si>
    <t>MAUNY</t>
  </si>
  <si>
    <t>CASTEL</t>
  </si>
  <si>
    <t>Edern</t>
  </si>
  <si>
    <t>DIEU</t>
  </si>
  <si>
    <t>PLOERMEL CEP</t>
  </si>
  <si>
    <t>Challenge Herouville</t>
  </si>
  <si>
    <t>Challenge Hérouville</t>
  </si>
  <si>
    <t>DUTAUD</t>
  </si>
  <si>
    <t>Corentin</t>
  </si>
  <si>
    <t>RENNES ERM</t>
  </si>
  <si>
    <t>JOSSE</t>
  </si>
  <si>
    <t>AUVINET KLASENIUS</t>
  </si>
  <si>
    <t>Isak</t>
  </si>
  <si>
    <t>GOUBIN   (V3)</t>
  </si>
  <si>
    <t>Patrick</t>
  </si>
  <si>
    <t>VANNES CEP</t>
  </si>
  <si>
    <t>Jean Baptiste</t>
  </si>
  <si>
    <t>VERNAZ. (V1)</t>
  </si>
  <si>
    <t>TELLIER. (V2)</t>
  </si>
  <si>
    <t>Olivier</t>
  </si>
  <si>
    <t>HOUGUET DOUCE</t>
  </si>
  <si>
    <t>Roman</t>
  </si>
  <si>
    <t>MENAY MARIGNY</t>
  </si>
  <si>
    <t>Arthur</t>
  </si>
  <si>
    <t>BOISSY</t>
  </si>
  <si>
    <t>Loris</t>
  </si>
  <si>
    <t>VITRE</t>
  </si>
  <si>
    <t>RENARD</t>
  </si>
  <si>
    <t>Yannis</t>
  </si>
  <si>
    <t>BEUZIT</t>
  </si>
  <si>
    <t>LE CALVEZ</t>
  </si>
  <si>
    <t>CN 1 DAX</t>
  </si>
  <si>
    <t>Eliot</t>
  </si>
  <si>
    <t xml:space="preserve">POSSELT </t>
  </si>
  <si>
    <t>NOÉ</t>
  </si>
  <si>
    <t>AURAY ESC</t>
  </si>
  <si>
    <t>J.A.ST MALO</t>
  </si>
  <si>
    <t>EYNARD</t>
  </si>
  <si>
    <t>Ewen</t>
  </si>
  <si>
    <t>JEGAT</t>
  </si>
  <si>
    <t>Mael</t>
  </si>
  <si>
    <t>Kezia</t>
  </si>
  <si>
    <t>TOURVILLE LUTZ</t>
  </si>
  <si>
    <t>Timothé</t>
  </si>
  <si>
    <t>SALMON RADENAC</t>
  </si>
  <si>
    <t>DUGUAY</t>
  </si>
  <si>
    <t>Timothée</t>
  </si>
  <si>
    <t>J.A. ST MALO</t>
  </si>
  <si>
    <t>ESSELMANI</t>
  </si>
  <si>
    <t>SORYA</t>
  </si>
  <si>
    <t>Maelys</t>
  </si>
  <si>
    <t>LALLIAS</t>
  </si>
  <si>
    <t>Sarah-Lison</t>
  </si>
  <si>
    <t>LESCOT</t>
  </si>
  <si>
    <t>Marie</t>
  </si>
  <si>
    <t>CHERASSE</t>
  </si>
  <si>
    <t>Emma</t>
  </si>
  <si>
    <t xml:space="preserve">ROBERT </t>
  </si>
  <si>
    <t>Noémie</t>
  </si>
  <si>
    <t xml:space="preserve">CN 1 Val d'Europe </t>
  </si>
  <si>
    <t>4-5/11/2023</t>
  </si>
  <si>
    <t>LECORRE (V2)</t>
  </si>
  <si>
    <t>FOUILLARD (V2)</t>
  </si>
  <si>
    <t>Thierry</t>
  </si>
  <si>
    <t xml:space="preserve">CEP Vannes </t>
  </si>
  <si>
    <t>CLAVOT (V2)</t>
  </si>
  <si>
    <t>Axelle</t>
  </si>
  <si>
    <t>PRESSE (V2)</t>
  </si>
  <si>
    <t>Sandrine</t>
  </si>
  <si>
    <t>COUFFIGNAL (V1)</t>
  </si>
  <si>
    <t>Marion</t>
  </si>
  <si>
    <t>DELAHAYE (V1)</t>
  </si>
  <si>
    <t>Ariane</t>
  </si>
  <si>
    <t>CEP Vannes</t>
  </si>
  <si>
    <t>DROUIN (V2)</t>
  </si>
  <si>
    <t>Denis</t>
  </si>
  <si>
    <t>Brest rapière</t>
  </si>
  <si>
    <t>FRANCON (V2)</t>
  </si>
  <si>
    <t>Rémi</t>
  </si>
  <si>
    <t>Brice</t>
  </si>
  <si>
    <t>Xavier</t>
  </si>
  <si>
    <t>TRAVERSINO (V2)</t>
  </si>
  <si>
    <t>BLANCHE (V2)</t>
  </si>
  <si>
    <t>Jean-Christophe</t>
  </si>
  <si>
    <t>Monfort</t>
  </si>
  <si>
    <t>BUSSY (V2)</t>
  </si>
  <si>
    <t>Stéphane</t>
  </si>
  <si>
    <t>Yann</t>
  </si>
  <si>
    <t>LE REGUER (V1)</t>
  </si>
  <si>
    <t>DESSAPT (V2)</t>
  </si>
  <si>
    <t>Maxime</t>
  </si>
  <si>
    <t>Gregory</t>
  </si>
  <si>
    <t>BREVET (V1)</t>
  </si>
  <si>
    <t>AUVINET(V1)</t>
  </si>
  <si>
    <t>Challenge Alençon</t>
  </si>
  <si>
    <t>Elian</t>
  </si>
  <si>
    <t>CRESTEY MAYEUR</t>
  </si>
  <si>
    <t>Jean</t>
  </si>
  <si>
    <t xml:space="preserve">MONFORT </t>
  </si>
  <si>
    <t>Mickael</t>
  </si>
  <si>
    <t>BENAMAR</t>
  </si>
  <si>
    <t>ROUX</t>
  </si>
  <si>
    <t>AUDOUYS</t>
  </si>
  <si>
    <t>Joshua</t>
  </si>
  <si>
    <t>DUFEIL</t>
  </si>
  <si>
    <t>Côme</t>
  </si>
  <si>
    <t>Challenge Duguesclin</t>
  </si>
  <si>
    <t>Wissam</t>
  </si>
  <si>
    <t>MENU</t>
  </si>
  <si>
    <t>MORICE</t>
  </si>
  <si>
    <t>ARGOUAC'H</t>
  </si>
  <si>
    <t>Théophile</t>
  </si>
  <si>
    <t>JOURDAN</t>
  </si>
  <si>
    <t>Sullivan</t>
  </si>
  <si>
    <t>DUFEU</t>
  </si>
  <si>
    <t>Ivy</t>
  </si>
  <si>
    <t>Jules</t>
  </si>
  <si>
    <t>SIGRIST</t>
  </si>
  <si>
    <t>Alexandre</t>
  </si>
  <si>
    <t>ROULIER</t>
  </si>
  <si>
    <t>Keynan</t>
  </si>
  <si>
    <t>LAUDREN</t>
  </si>
  <si>
    <t>Gabriel</t>
  </si>
  <si>
    <t>LAIZE MELLIER</t>
  </si>
  <si>
    <t>Lucian</t>
  </si>
  <si>
    <t>NICOLAS BENNAFLA</t>
  </si>
  <si>
    <t>Yanis</t>
  </si>
  <si>
    <t>YANN</t>
  </si>
  <si>
    <t>Seni</t>
  </si>
  <si>
    <t>Escrime Quimper C</t>
  </si>
  <si>
    <t>MAILLARD</t>
  </si>
  <si>
    <t>LE COZ</t>
  </si>
  <si>
    <t>Erwan</t>
  </si>
  <si>
    <t>Romane</t>
  </si>
  <si>
    <t>GARDRINIER</t>
  </si>
  <si>
    <t>QUENON</t>
  </si>
  <si>
    <t>Chloé</t>
  </si>
  <si>
    <t>THOUAULT</t>
  </si>
  <si>
    <t>MOHAMED</t>
  </si>
  <si>
    <t>JA ST MALO</t>
  </si>
  <si>
    <t>Joséphine</t>
  </si>
  <si>
    <t>Alwena</t>
  </si>
  <si>
    <t>AUBERT</t>
  </si>
  <si>
    <t>Calie</t>
  </si>
  <si>
    <t>LABBE</t>
  </si>
  <si>
    <t>Azilis</t>
  </si>
  <si>
    <t>RAULT SURIYO</t>
  </si>
  <si>
    <t>Jade</t>
  </si>
  <si>
    <t>LE METAYER</t>
  </si>
  <si>
    <t>Anastasia</t>
  </si>
  <si>
    <t>ALEOGENA</t>
  </si>
  <si>
    <t>Damara</t>
  </si>
  <si>
    <t>PERRIN TERRIN</t>
  </si>
  <si>
    <t>Edmée</t>
  </si>
  <si>
    <t>MARIGNY</t>
  </si>
  <si>
    <t>Méline</t>
  </si>
  <si>
    <t>MADIOT</t>
  </si>
  <si>
    <t>Jean Cyril</t>
  </si>
  <si>
    <t>MICHAUD LIPOVAC</t>
  </si>
  <si>
    <t>Oswald</t>
  </si>
  <si>
    <t>DUPLAN</t>
  </si>
  <si>
    <t xml:space="preserve">Jean </t>
  </si>
  <si>
    <t>VIMEUX</t>
  </si>
  <si>
    <t>VAILLANT LINGER</t>
  </si>
  <si>
    <t>NOGUEIRA BEZIAT</t>
  </si>
  <si>
    <t>ETIENNE</t>
  </si>
  <si>
    <t>Malo</t>
  </si>
  <si>
    <t>Amaury</t>
  </si>
  <si>
    <t>JORAND</t>
  </si>
  <si>
    <t>Kito</t>
  </si>
  <si>
    <t>Challenge Alencon</t>
  </si>
  <si>
    <t>Challenge d Alençon</t>
  </si>
  <si>
    <t>LEGER</t>
  </si>
  <si>
    <t>Christophe</t>
  </si>
  <si>
    <t>COLIN</t>
  </si>
  <si>
    <t>Sébastien</t>
  </si>
  <si>
    <t>FOUILLARD</t>
  </si>
  <si>
    <t>CEP VANNES</t>
  </si>
  <si>
    <t>Gaëlle</t>
  </si>
  <si>
    <t>CHERASSE (V1)</t>
  </si>
  <si>
    <t>LEVALLOIS (V1)</t>
  </si>
  <si>
    <t>Georges</t>
  </si>
  <si>
    <t>CARTIER (V2)</t>
  </si>
  <si>
    <t>LEGER(V1)</t>
  </si>
  <si>
    <t>Vincent</t>
  </si>
  <si>
    <t>MOQUET(V1)</t>
  </si>
  <si>
    <t>MONGONDRY (V1)</t>
  </si>
  <si>
    <t>Cédric</t>
  </si>
  <si>
    <t>Eric</t>
  </si>
  <si>
    <t>Gérald</t>
  </si>
  <si>
    <t>DINAN</t>
  </si>
  <si>
    <t>ORRIOLS (V1)</t>
  </si>
  <si>
    <t>MARCHAL(V1)</t>
  </si>
  <si>
    <t>BERNEUIL (V2)</t>
  </si>
  <si>
    <t>David</t>
  </si>
  <si>
    <t>Jean-Yves</t>
  </si>
  <si>
    <t>Jean-Luc</t>
  </si>
  <si>
    <t>Michel</t>
  </si>
  <si>
    <t>Guy</t>
  </si>
  <si>
    <t>LE CALONNEC(V3)</t>
  </si>
  <si>
    <t>HOUDELINE(V4)</t>
  </si>
  <si>
    <t>CAILLIBOTTE(V2)</t>
  </si>
  <si>
    <t>DEGOUL(V3)</t>
  </si>
  <si>
    <t>TOYER(V2)</t>
  </si>
  <si>
    <t>Challenge Scaramouche Angers</t>
  </si>
  <si>
    <t>SCHRUOFFENEGER</t>
  </si>
  <si>
    <t>PIASENTIN</t>
  </si>
  <si>
    <t>Angélina</t>
  </si>
  <si>
    <t>CHALLENGE Scaramouche Angers</t>
  </si>
  <si>
    <t xml:space="preserve">CHALLENGE sacaramouche </t>
  </si>
  <si>
    <t>H2032 Regional St Brieuc</t>
  </si>
  <si>
    <t xml:space="preserve">Challenge Scaramouche </t>
  </si>
  <si>
    <t>Lancelot</t>
  </si>
  <si>
    <t>Challenge Scaramouche anger</t>
  </si>
  <si>
    <t>Coupe du Futur 1 Lannion</t>
  </si>
  <si>
    <t>AKERHOLM</t>
  </si>
  <si>
    <t>Léon</t>
  </si>
  <si>
    <t>METTETAL</t>
  </si>
  <si>
    <t>Zolan</t>
  </si>
  <si>
    <t>VITRÉE</t>
  </si>
  <si>
    <t>DE FIGUEIRERO FONTAINE</t>
  </si>
  <si>
    <t>Pédro</t>
  </si>
  <si>
    <t>ST MÉEN LG</t>
  </si>
  <si>
    <t>SIMOUTRE</t>
  </si>
  <si>
    <t>LOORIUS</t>
  </si>
  <si>
    <t>LOUDEAC</t>
  </si>
  <si>
    <t>GATTEPAILLE-PERRIN</t>
  </si>
  <si>
    <t>Naomie</t>
  </si>
  <si>
    <t>CHAUSSENDE</t>
  </si>
  <si>
    <t>Raphael</t>
  </si>
  <si>
    <t>PAIMPOL CE</t>
  </si>
  <si>
    <t>DE GIGUEIRERO-FONTAINE</t>
  </si>
  <si>
    <t>Tempérance</t>
  </si>
  <si>
    <t>HANEL TREMEL</t>
  </si>
  <si>
    <t>Elyzio</t>
  </si>
  <si>
    <t>DETERRE</t>
  </si>
  <si>
    <t>Vivien</t>
  </si>
  <si>
    <t>GAUTHIER-DETIVAUD</t>
  </si>
  <si>
    <t>HOUGUET-DOUCE</t>
  </si>
  <si>
    <t>JANSSEN</t>
  </si>
  <si>
    <t>Calixte</t>
  </si>
  <si>
    <t>LOEWENTHAL</t>
  </si>
  <si>
    <t>Niel</t>
  </si>
  <si>
    <t>COETQUIDAN</t>
  </si>
  <si>
    <t>PASCUAL</t>
  </si>
  <si>
    <t>HEURTEL-STEVENARD</t>
  </si>
  <si>
    <t>LE CORFF</t>
  </si>
  <si>
    <t>CALLAUD</t>
  </si>
  <si>
    <t>Caolan</t>
  </si>
  <si>
    <t>JAN</t>
  </si>
  <si>
    <t>Brieuc</t>
  </si>
  <si>
    <t>ALEXANDRE</t>
  </si>
  <si>
    <t>Ambre</t>
  </si>
  <si>
    <t>LEBRUN</t>
  </si>
  <si>
    <t>Ailana</t>
  </si>
  <si>
    <t>FERAL</t>
  </si>
  <si>
    <t>Lilou</t>
  </si>
  <si>
    <t>FEUGHOUO</t>
  </si>
  <si>
    <t>Louise</t>
  </si>
  <si>
    <t>BILLION DARMUEZY</t>
  </si>
  <si>
    <t>Alix</t>
  </si>
  <si>
    <t>SAVELLI</t>
  </si>
  <si>
    <t>Clémentine</t>
  </si>
  <si>
    <t>DELION</t>
  </si>
  <si>
    <t>Clara</t>
  </si>
  <si>
    <t>CN 2 Le Havre</t>
  </si>
  <si>
    <t>09-10/12/2023</t>
  </si>
  <si>
    <t>Philippe</t>
  </si>
  <si>
    <t>Erwann</t>
  </si>
  <si>
    <t>Even</t>
  </si>
  <si>
    <t>Noël</t>
  </si>
  <si>
    <t>LANNION</t>
  </si>
  <si>
    <t>DE GEYER d'ORTH (V3)</t>
  </si>
  <si>
    <t>LARUELLE (V4)</t>
  </si>
  <si>
    <t>LE GALVEZ (V2)</t>
  </si>
  <si>
    <t>BELLIER (V2)</t>
  </si>
  <si>
    <t>Sophie</t>
  </si>
  <si>
    <t>AMMARDJI</t>
  </si>
  <si>
    <t xml:space="preserve">LEROUX </t>
  </si>
  <si>
    <t>Antonin</t>
  </si>
  <si>
    <t>MOEC</t>
  </si>
  <si>
    <t>Gurvan</t>
  </si>
  <si>
    <t>KERHUEL</t>
  </si>
  <si>
    <t>DESCHAMPS</t>
  </si>
  <si>
    <t>VERNAZ</t>
  </si>
  <si>
    <t>MONOT</t>
  </si>
  <si>
    <t>Benoit</t>
  </si>
  <si>
    <t>ARZUL</t>
  </si>
  <si>
    <t>Tugdual</t>
  </si>
  <si>
    <t>GUIGAMP ARM</t>
  </si>
  <si>
    <t>PITON</t>
  </si>
  <si>
    <t>Louis Maxime</t>
  </si>
  <si>
    <t>LANNION ASPTT</t>
  </si>
  <si>
    <t>GUILLEMIN</t>
  </si>
  <si>
    <t>Marc</t>
  </si>
  <si>
    <t>KERBIRIOU</t>
  </si>
  <si>
    <t>TROUSSARD</t>
  </si>
  <si>
    <t>AUVINET</t>
  </si>
  <si>
    <t>CHARLERY</t>
  </si>
  <si>
    <t>François Xavier</t>
  </si>
  <si>
    <t>LACROIX</t>
  </si>
  <si>
    <t>MOYON</t>
  </si>
  <si>
    <t>Marin</t>
  </si>
  <si>
    <t>LECORRE</t>
  </si>
  <si>
    <t>GRATCH</t>
  </si>
  <si>
    <t>Sylvain</t>
  </si>
  <si>
    <t>MONGONDRY</t>
  </si>
  <si>
    <t>cedric</t>
  </si>
  <si>
    <t>BREVET</t>
  </si>
  <si>
    <t>GRIMAUD</t>
  </si>
  <si>
    <t>PIOT</t>
  </si>
  <si>
    <t xml:space="preserve">Charles Antoine </t>
  </si>
  <si>
    <t>KARMOWSKI</t>
  </si>
  <si>
    <t>Pierre-Julien</t>
  </si>
  <si>
    <t>LE MORVAN</t>
  </si>
  <si>
    <t>GODINOT</t>
  </si>
  <si>
    <t>Augustin</t>
  </si>
  <si>
    <t>Guillaume</t>
  </si>
  <si>
    <t>RENNES E C</t>
  </si>
  <si>
    <t>BOITEL</t>
  </si>
  <si>
    <t>CUCCARONI</t>
  </si>
  <si>
    <t>CARTIER</t>
  </si>
  <si>
    <t>BEDEL</t>
  </si>
  <si>
    <t>GODET</t>
  </si>
  <si>
    <t>Hervé</t>
  </si>
  <si>
    <t>PENNEC</t>
  </si>
  <si>
    <t>Cédrick</t>
  </si>
  <si>
    <t>GRONNIER</t>
  </si>
  <si>
    <t>Christopher</t>
  </si>
  <si>
    <t>HINGANT</t>
  </si>
  <si>
    <t>Alexis</t>
  </si>
  <si>
    <t>CATREVAUX</t>
  </si>
  <si>
    <t>Gaetan</t>
  </si>
  <si>
    <t>BOUVIER</t>
  </si>
  <si>
    <t>POULAIN</t>
  </si>
  <si>
    <t>Aldwin</t>
  </si>
  <si>
    <t>COUFFIGNAL</t>
  </si>
  <si>
    <t xml:space="preserve">Challenge de l'hermine </t>
  </si>
  <si>
    <t>DURAND</t>
  </si>
  <si>
    <t>BONNINGUE</t>
  </si>
  <si>
    <t>GUENON</t>
  </si>
  <si>
    <t>Morgane</t>
  </si>
  <si>
    <t>DINAN AE</t>
  </si>
  <si>
    <t>BONNARD</t>
  </si>
  <si>
    <t>Juliette</t>
  </si>
  <si>
    <t>CARTIER BOURHIS</t>
  </si>
  <si>
    <t>Anne Lise</t>
  </si>
  <si>
    <t>JICQUELLO</t>
  </si>
  <si>
    <t>Clémence</t>
  </si>
  <si>
    <t>ROUSSEL</t>
  </si>
  <si>
    <t>Océane</t>
  </si>
  <si>
    <t>JACOLIN</t>
  </si>
  <si>
    <t>Raphaelle</t>
  </si>
  <si>
    <t>CLAVOT</t>
  </si>
  <si>
    <t>ANDRIEUX</t>
  </si>
  <si>
    <t>Laure</t>
  </si>
  <si>
    <t>Gaelle</t>
  </si>
  <si>
    <t xml:space="preserve">Challenge de L'Hermine </t>
  </si>
  <si>
    <t>Adrien</t>
  </si>
  <si>
    <t>JAFFRELOT</t>
  </si>
  <si>
    <t>SIRAGA</t>
  </si>
  <si>
    <t>BOHUON</t>
  </si>
  <si>
    <t>Simon</t>
  </si>
  <si>
    <t>DUBOIS</t>
  </si>
  <si>
    <t>CHAILLOU ALLARD</t>
  </si>
  <si>
    <t>PEROUSSE</t>
  </si>
  <si>
    <t>Daniel Jean</t>
  </si>
  <si>
    <t>AUVINET KLASNIUS</t>
  </si>
  <si>
    <t>CERRUTI</t>
  </si>
  <si>
    <t>Balthazar</t>
  </si>
  <si>
    <t>Challenge Hermine</t>
  </si>
  <si>
    <t>ORRIOLS REDOUTE</t>
  </si>
  <si>
    <t>QUENOUILLERE</t>
  </si>
  <si>
    <t>Léo</t>
  </si>
  <si>
    <t>BENOIST DEFRADE</t>
  </si>
  <si>
    <t>GONG GREFFIER</t>
  </si>
  <si>
    <t>ALLAIRE</t>
  </si>
  <si>
    <t>FITOUR</t>
  </si>
  <si>
    <t>Théodore</t>
  </si>
  <si>
    <t>DUPAS</t>
  </si>
  <si>
    <t>Lucien</t>
  </si>
  <si>
    <t>LE RIGUER</t>
  </si>
  <si>
    <t>CHAPLAIN</t>
  </si>
  <si>
    <t>Hippolyte</t>
  </si>
  <si>
    <t>MONTFORT</t>
  </si>
  <si>
    <t xml:space="preserve">POISSON </t>
  </si>
  <si>
    <t>LAGUERIE</t>
  </si>
  <si>
    <t>Anne-Sophie</t>
  </si>
  <si>
    <t>FOULGOC</t>
  </si>
  <si>
    <t>GOUPIL</t>
  </si>
  <si>
    <t>Manon</t>
  </si>
  <si>
    <t>PREVOST</t>
  </si>
  <si>
    <t>Eloise</t>
  </si>
  <si>
    <t>DOUCET</t>
  </si>
  <si>
    <t>Oceana</t>
  </si>
  <si>
    <t>LE GARGASSON</t>
  </si>
  <si>
    <t>CN 3 Soissons</t>
  </si>
  <si>
    <t xml:space="preserve">Coupe de Bretagne </t>
  </si>
  <si>
    <t>CN3 Thionville</t>
  </si>
  <si>
    <t>CN2 Chaumont</t>
  </si>
  <si>
    <t>POIROT</t>
  </si>
  <si>
    <t>Muyin</t>
  </si>
  <si>
    <t xml:space="preserve">CR 2 St Méen </t>
  </si>
  <si>
    <t>LEROUX CASTRO</t>
  </si>
  <si>
    <t>Kaelig</t>
  </si>
  <si>
    <t xml:space="preserve">Nolan </t>
  </si>
  <si>
    <t>PERDRIAT</t>
  </si>
  <si>
    <t>Louenn</t>
  </si>
  <si>
    <t>QUENTEL</t>
  </si>
  <si>
    <t>COMBRUN</t>
  </si>
  <si>
    <t>Eliott</t>
  </si>
  <si>
    <t>DESPREAUX</t>
  </si>
  <si>
    <t>Nawen</t>
  </si>
  <si>
    <t>HUE</t>
  </si>
  <si>
    <t>HELLIO</t>
  </si>
  <si>
    <t>Swan</t>
  </si>
  <si>
    <t>GILLET MAYEUX</t>
  </si>
  <si>
    <t>Armand</t>
  </si>
  <si>
    <t>JUIGNET</t>
  </si>
  <si>
    <t>ST MEEN LG</t>
  </si>
  <si>
    <t>MONVOISIN</t>
  </si>
  <si>
    <t>Joris</t>
  </si>
  <si>
    <t>MANDAGI</t>
  </si>
  <si>
    <t>Noah</t>
  </si>
  <si>
    <t>GICQUEL</t>
  </si>
  <si>
    <t>Clovis</t>
  </si>
  <si>
    <t>GUIGUES</t>
  </si>
  <si>
    <t>Mathurin</t>
  </si>
  <si>
    <t>MANDAGI-DECHERF</t>
  </si>
  <si>
    <t>THOMY</t>
  </si>
  <si>
    <t>Lysandre</t>
  </si>
  <si>
    <t>Paul</t>
  </si>
  <si>
    <t>LOUNAS</t>
  </si>
  <si>
    <t>Naim</t>
  </si>
  <si>
    <t>MIACHON</t>
  </si>
  <si>
    <t>Clément</t>
  </si>
  <si>
    <t>PETRIE PAYET</t>
  </si>
  <si>
    <t>DE GUARDIA NOVINCE</t>
  </si>
  <si>
    <t>GAZARIAN</t>
  </si>
  <si>
    <t>Lucas</t>
  </si>
  <si>
    <t>CHOTARD</t>
  </si>
  <si>
    <t>Jacq</t>
  </si>
  <si>
    <t>PAWLIK</t>
  </si>
  <si>
    <t>GUILLO LOHAN</t>
  </si>
  <si>
    <t>Béranger</t>
  </si>
  <si>
    <t>BASTIAN</t>
  </si>
  <si>
    <t>AUBRY</t>
  </si>
  <si>
    <t>REDON</t>
  </si>
  <si>
    <t>KERGOURLAY</t>
  </si>
  <si>
    <t>Ewan</t>
  </si>
  <si>
    <t>CATHELINE</t>
  </si>
  <si>
    <t>GROSBOIS MERCIER</t>
  </si>
  <si>
    <t>Yaniss</t>
  </si>
  <si>
    <t>LAMOLY</t>
  </si>
  <si>
    <t>Sean</t>
  </si>
  <si>
    <t>CHARPY</t>
  </si>
  <si>
    <t>Marius</t>
  </si>
  <si>
    <t>Championnat de Bretagne Malo</t>
  </si>
  <si>
    <t xml:space="preserve">6-7 /04/2024  </t>
  </si>
  <si>
    <t>Domitille</t>
  </si>
  <si>
    <t>AURAY</t>
  </si>
  <si>
    <t>Hermance</t>
  </si>
  <si>
    <t>GENTEUIL</t>
  </si>
  <si>
    <t>Maëlia</t>
  </si>
  <si>
    <t>LAPREVOTTE-BODIN</t>
  </si>
  <si>
    <t>CARAMOUR-GAUTIER</t>
  </si>
  <si>
    <t>Coline</t>
  </si>
  <si>
    <t>LOUEDEC DALIBOT</t>
  </si>
  <si>
    <t>BESNARD</t>
  </si>
  <si>
    <t>Mailane</t>
  </si>
  <si>
    <t>VERROIT-AVENEL</t>
  </si>
  <si>
    <t>Maximilia</t>
  </si>
  <si>
    <t>LOURTAUD</t>
  </si>
  <si>
    <t>MONFORT</t>
  </si>
  <si>
    <t>CANU</t>
  </si>
  <si>
    <t>Nina</t>
  </si>
  <si>
    <t>HIGNARD</t>
  </si>
  <si>
    <t>EL HADDIOUI</t>
  </si>
  <si>
    <t>Hind</t>
  </si>
  <si>
    <t>LAFORGE</t>
  </si>
  <si>
    <t>Elza</t>
  </si>
  <si>
    <t>POSSELT</t>
  </si>
  <si>
    <t>Sorya</t>
  </si>
  <si>
    <t>JICQUELOT</t>
  </si>
  <si>
    <t xml:space="preserve">Clémence </t>
  </si>
  <si>
    <t>ROBERT</t>
  </si>
  <si>
    <t>GOASMAT</t>
  </si>
  <si>
    <t>Anna</t>
  </si>
  <si>
    <t>NERAMBOURG</t>
  </si>
  <si>
    <t>AUVRAY</t>
  </si>
  <si>
    <t>Matthieu</t>
  </si>
  <si>
    <t>LE LEUCH</t>
  </si>
  <si>
    <t>BIGOT</t>
  </si>
  <si>
    <t>Elouan</t>
  </si>
  <si>
    <t>BARBE</t>
  </si>
  <si>
    <t>AMMANN-BAUGET</t>
  </si>
  <si>
    <t>Dimitri</t>
  </si>
  <si>
    <t>SAINT RENAN ESCRIME</t>
  </si>
  <si>
    <t>THOUAUlT</t>
  </si>
  <si>
    <t>LAMAZURE</t>
  </si>
  <si>
    <t>Aenore</t>
  </si>
  <si>
    <t>JASLET</t>
  </si>
  <si>
    <t>St MEEN LG</t>
  </si>
  <si>
    <t>Championnat de Bretagne ST Malo</t>
  </si>
  <si>
    <t>HUSSET</t>
  </si>
  <si>
    <t>Godefroy</t>
  </si>
  <si>
    <t>MOREAU</t>
  </si>
  <si>
    <t>Virgile</t>
  </si>
  <si>
    <t>ESCRIME QUIMPER</t>
  </si>
  <si>
    <t>CHOLET</t>
  </si>
  <si>
    <t>Saint RENAN</t>
  </si>
  <si>
    <t>ESNAULT</t>
  </si>
  <si>
    <t>Alban</t>
  </si>
  <si>
    <t>RETAILLEAU</t>
  </si>
  <si>
    <t>Elise</t>
  </si>
  <si>
    <t>GLORY</t>
  </si>
  <si>
    <t>GACEL</t>
  </si>
  <si>
    <t>Marine</t>
  </si>
  <si>
    <t>RENNES EC</t>
  </si>
  <si>
    <t>LERROL</t>
  </si>
  <si>
    <t>Eliyah</t>
  </si>
  <si>
    <t>MORLAIX EC</t>
  </si>
  <si>
    <t>MAZOUER</t>
  </si>
  <si>
    <t>Adélie</t>
  </si>
  <si>
    <t>Martine</t>
  </si>
  <si>
    <t>PAPIN</t>
  </si>
  <si>
    <t>FOUGERES CEP</t>
  </si>
  <si>
    <t>Championnat de Bretagne St Malo</t>
  </si>
  <si>
    <t xml:space="preserve">Championnat Régional  St Malo </t>
  </si>
  <si>
    <t>ROLLAND</t>
  </si>
  <si>
    <t>Josselin</t>
  </si>
  <si>
    <t>Meallan</t>
  </si>
  <si>
    <t>GIBASSIER--WU</t>
  </si>
  <si>
    <t>PIOC</t>
  </si>
  <si>
    <t>Paul André</t>
  </si>
  <si>
    <t>BERNARD</t>
  </si>
  <si>
    <t>ALEC</t>
  </si>
  <si>
    <t>CAYTAN</t>
  </si>
  <si>
    <t>Marceau</t>
  </si>
  <si>
    <t>LEJEUNE</t>
  </si>
  <si>
    <t>Guilhem</t>
  </si>
  <si>
    <t>FOURET</t>
  </si>
  <si>
    <t>Robert</t>
  </si>
  <si>
    <t>FOUCHER</t>
  </si>
  <si>
    <t>ROSTRONEN</t>
  </si>
  <si>
    <t>BEILLONET</t>
  </si>
  <si>
    <t>Fabien</t>
  </si>
  <si>
    <t>CAILLIBOTTE</t>
  </si>
  <si>
    <t>Jean Luc</t>
  </si>
  <si>
    <t>LEMONNIER</t>
  </si>
  <si>
    <t>Hugo</t>
  </si>
  <si>
    <t>CESSON</t>
  </si>
  <si>
    <t>BARBEDETTE</t>
  </si>
  <si>
    <t>Valentin</t>
  </si>
  <si>
    <t>SAINT RENAN</t>
  </si>
  <si>
    <t>BARISONE</t>
  </si>
  <si>
    <t>Medhi</t>
  </si>
  <si>
    <t>MORIN-OGIER</t>
  </si>
  <si>
    <t>Quentin</t>
  </si>
  <si>
    <t>LENOIR</t>
  </si>
  <si>
    <t>Kévin</t>
  </si>
  <si>
    <t>CN 4 Aubières</t>
  </si>
  <si>
    <t>Patrice</t>
  </si>
  <si>
    <t>SOICHET (V3)</t>
  </si>
  <si>
    <t>Lenaig</t>
  </si>
  <si>
    <t>LORIENT</t>
  </si>
  <si>
    <t>Laurence</t>
  </si>
  <si>
    <t>LEDUC (V2)</t>
  </si>
  <si>
    <t>HUDIN (V2)</t>
  </si>
  <si>
    <t>Delphine</t>
  </si>
  <si>
    <t>AUFFRET (V2)</t>
  </si>
  <si>
    <t>GUIGAMP</t>
  </si>
  <si>
    <t>Didier</t>
  </si>
  <si>
    <t>MISCHLER (V3)</t>
  </si>
  <si>
    <t xml:space="preserve">Championnat de Bretagne Rennes </t>
  </si>
  <si>
    <t>DIETSCH (V3)</t>
  </si>
  <si>
    <t>GUILLEMIN (V3)</t>
  </si>
  <si>
    <t xml:space="preserve">Jerôme </t>
  </si>
  <si>
    <t>POHER OE</t>
  </si>
  <si>
    <t>GARCIA (V2)</t>
  </si>
  <si>
    <t>MORLAIX</t>
  </si>
  <si>
    <t>BARISONE(V1)</t>
  </si>
  <si>
    <t>VOGIN(V1)</t>
  </si>
  <si>
    <t>Championnat de Bretagne Rennes</t>
  </si>
  <si>
    <t>Championnat régional Rennes</t>
  </si>
  <si>
    <t>MIGNOT</t>
  </si>
  <si>
    <t>Lukas</t>
  </si>
  <si>
    <t>CN 4 Lille</t>
  </si>
  <si>
    <t>CN4 CAEN</t>
  </si>
  <si>
    <t>Coupe du futur1 Lannion</t>
  </si>
  <si>
    <t>GRANIER (V2)</t>
  </si>
  <si>
    <t>Challenge de France Brest</t>
  </si>
  <si>
    <t>Sitti Boudoura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</si>
</sst>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0" fontId="0" fillId="4" borderId="1" xfId="0" applyFill="1" applyBorder="1"/>
    <xf numFmtId="1" fontId="0" fillId="4" borderId="1" xfId="0" applyNumberFormat="1" applyFill="1" applyBorder="1"/>
    <xf numFmtId="0" fontId="5" fillId="4" borderId="1" xfId="0" applyFont="1" applyFill="1" applyBorder="1"/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6" fillId="0" borderId="1" xfId="0" applyFont="1" applyBorder="1"/>
    <xf numFmtId="0" fontId="6" fillId="4" borderId="1" xfId="0" applyFont="1" applyFill="1" applyBorder="1"/>
    <xf numFmtId="0" fontId="0" fillId="4" borderId="1" xfId="0" applyFill="1" applyBorder="1" applyAlignment="1">
      <alignment horizontal="center" vertical="center"/>
    </xf>
    <xf numFmtId="1" fontId="0" fillId="5" borderId="1" xfId="0" applyNumberFormat="1" applyFill="1" applyBorder="1"/>
    <xf numFmtId="0" fontId="0" fillId="6" borderId="1" xfId="0" applyFill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9"/>
  <sheetViews>
    <sheetView tabSelected="1" workbookViewId="0">
      <pane xSplit="3" ySplit="10" topLeftCell="R11" activePane="bottomRight" state="frozenSplit"/>
      <selection activeCell="B6" sqref="B6"/>
      <selection pane="topRight" activeCell="B6" sqref="B6"/>
      <selection pane="bottomLeft" activeCell="B6" sqref="B6"/>
      <selection pane="bottomRight" activeCell="Z4" sqref="Z4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13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  <col min="18" max="18" width="15.33203125" customWidth="1"/>
    <col min="22" max="22" width="12.77734375" customWidth="1"/>
    <col min="24" max="24" width="17.6640625" customWidth="1"/>
  </cols>
  <sheetData>
    <row r="1" spans="1:26" ht="31.2" x14ac:dyDescent="0.6">
      <c r="A1" s="47" t="s">
        <v>48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41" t="s">
        <v>275</v>
      </c>
      <c r="F6" s="41"/>
      <c r="G6" s="41" t="s">
        <v>328</v>
      </c>
      <c r="H6" s="41"/>
      <c r="I6" s="41" t="s">
        <v>363</v>
      </c>
      <c r="J6" s="41"/>
      <c r="K6" s="41" t="s">
        <v>375</v>
      </c>
      <c r="L6" s="41"/>
      <c r="M6" s="41" t="s">
        <v>534</v>
      </c>
      <c r="N6" s="41"/>
      <c r="O6" s="41" t="s">
        <v>667</v>
      </c>
      <c r="P6" s="41"/>
      <c r="Q6" s="41" t="s">
        <v>843</v>
      </c>
      <c r="R6" s="41"/>
      <c r="S6" s="41" t="s">
        <v>830</v>
      </c>
      <c r="T6" s="41"/>
      <c r="U6" s="41" t="s">
        <v>56</v>
      </c>
      <c r="V6" s="41"/>
      <c r="W6" s="41" t="s">
        <v>58</v>
      </c>
      <c r="X6" s="41"/>
    </row>
    <row r="7" spans="1:26" x14ac:dyDescent="0.3">
      <c r="D7" s="1" t="s">
        <v>10</v>
      </c>
      <c r="E7" s="42">
        <v>2</v>
      </c>
      <c r="F7" s="43"/>
      <c r="G7" s="42">
        <v>4</v>
      </c>
      <c r="H7" s="43"/>
      <c r="I7" s="42">
        <v>2</v>
      </c>
      <c r="J7" s="43"/>
      <c r="K7" s="42">
        <v>2</v>
      </c>
      <c r="L7" s="43"/>
      <c r="M7" s="42">
        <v>4</v>
      </c>
      <c r="N7" s="43"/>
      <c r="O7" s="42">
        <v>4</v>
      </c>
      <c r="P7" s="43"/>
      <c r="Q7" s="42">
        <v>3</v>
      </c>
      <c r="R7" s="43"/>
      <c r="S7" s="42">
        <v>3</v>
      </c>
      <c r="T7" s="43"/>
      <c r="U7" s="42">
        <v>3</v>
      </c>
      <c r="V7" s="43"/>
      <c r="W7" s="42">
        <v>6</v>
      </c>
      <c r="X7" s="43"/>
    </row>
    <row r="8" spans="1:26" x14ac:dyDescent="0.3">
      <c r="D8" s="1" t="s">
        <v>1</v>
      </c>
      <c r="E8" s="44">
        <v>45213</v>
      </c>
      <c r="F8" s="44"/>
      <c r="G8" s="44" t="s">
        <v>329</v>
      </c>
      <c r="H8" s="44"/>
      <c r="I8" s="44">
        <v>45226</v>
      </c>
      <c r="J8" s="44"/>
      <c r="K8" s="44">
        <v>45241</v>
      </c>
      <c r="L8" s="44"/>
      <c r="M8" s="44" t="s">
        <v>535</v>
      </c>
      <c r="N8" s="44"/>
      <c r="O8" s="44" t="s">
        <v>44</v>
      </c>
      <c r="P8" s="44"/>
      <c r="Q8" s="44" t="s">
        <v>31</v>
      </c>
      <c r="R8" s="44"/>
      <c r="S8" s="44" t="s">
        <v>46</v>
      </c>
      <c r="T8" s="44"/>
      <c r="U8" s="44" t="s">
        <v>57</v>
      </c>
      <c r="V8" s="44"/>
      <c r="W8" s="44" t="s">
        <v>33</v>
      </c>
      <c r="X8" s="44"/>
    </row>
    <row r="9" spans="1:26" x14ac:dyDescent="0.3">
      <c r="D9" s="1" t="s">
        <v>2</v>
      </c>
      <c r="E9" s="41">
        <v>12</v>
      </c>
      <c r="F9" s="41"/>
      <c r="G9" s="41">
        <v>295</v>
      </c>
      <c r="H9" s="41"/>
      <c r="I9" s="41">
        <v>31</v>
      </c>
      <c r="J9" s="41"/>
      <c r="K9" s="41">
        <v>304</v>
      </c>
      <c r="L9" s="41"/>
      <c r="M9" s="41">
        <v>304</v>
      </c>
      <c r="N9" s="41"/>
      <c r="O9" s="41">
        <v>209</v>
      </c>
      <c r="P9" s="41"/>
      <c r="Q9" s="41">
        <v>32</v>
      </c>
      <c r="R9" s="41"/>
      <c r="S9" s="41">
        <v>143</v>
      </c>
      <c r="T9" s="41"/>
      <c r="U9" s="41">
        <v>133</v>
      </c>
      <c r="V9" s="41"/>
      <c r="W9" s="41">
        <v>80</v>
      </c>
      <c r="X9" s="41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19">
        <v>1</v>
      </c>
      <c r="B11" s="13" t="s">
        <v>286</v>
      </c>
      <c r="C11" s="13" t="s">
        <v>285</v>
      </c>
      <c r="D11" s="13" t="s">
        <v>278</v>
      </c>
      <c r="E11" s="7">
        <v>1</v>
      </c>
      <c r="F11" s="7">
        <f>IF(E11=0,,($E$9-E11)*$E$7*100/$E$9)</f>
        <v>183.33333333333334</v>
      </c>
      <c r="G11" s="22"/>
      <c r="H11" s="7">
        <f t="shared" ref="H11:H47" si="0">IF(G11=0,,($G$9-G11)*$G$7*100/$G$9)</f>
        <v>0</v>
      </c>
      <c r="I11" s="23">
        <v>2</v>
      </c>
      <c r="J11" s="23">
        <f t="shared" ref="J11:J23" si="1">IF(I11=0,,($I$9-I11)*$I$7*100/$I$9)</f>
        <v>187.09677419354838</v>
      </c>
      <c r="K11" s="23">
        <v>1</v>
      </c>
      <c r="L11" s="23">
        <f t="shared" ref="L11:L23" si="2">IF(K11=0,,($K$9-K11)*$K$7*100/$K$9)</f>
        <v>199.34210526315789</v>
      </c>
      <c r="M11" s="23">
        <v>11</v>
      </c>
      <c r="N11" s="23">
        <f t="shared" ref="N11:N24" si="3">IF(M11=0,,($M$9-M11)*$M$7*100/$M$9)</f>
        <v>385.5263157894737</v>
      </c>
      <c r="O11" s="22">
        <v>23</v>
      </c>
      <c r="P11" s="22">
        <f t="shared" ref="P11:P48" si="4">IF(O11=0,,($O$9-O11)*$O$7*100/$O$9)</f>
        <v>355.98086124401914</v>
      </c>
      <c r="Q11" s="22">
        <v>1</v>
      </c>
      <c r="R11" s="22">
        <f t="shared" ref="R11:R48" si="5">IF(Q11=0,,($Q$9-Q11)*$Q$7*100/$Q$9)</f>
        <v>290.625</v>
      </c>
      <c r="S11" s="7"/>
      <c r="T11" s="22">
        <f t="shared" ref="T11:T31" si="6">IF(S11=0,,($S$9-S11)*$S$7*100/$S$9)</f>
        <v>0</v>
      </c>
      <c r="U11" s="7">
        <v>26</v>
      </c>
      <c r="V11" s="22">
        <f t="shared" ref="V11:V48" si="7">IF(U11=0,,($U$9-U11)*$U$7*100/$U$9)</f>
        <v>241.35338345864662</v>
      </c>
      <c r="W11" s="7">
        <v>34</v>
      </c>
      <c r="X11" s="7">
        <f t="shared" ref="X11:X48" si="8">IF(W11=0,,($W$9-W11)*$W$7*100/$W$9)</f>
        <v>345</v>
      </c>
      <c r="Y11" s="27">
        <f t="shared" ref="Y11:Y48" si="9">SUM(F11+H11+J11+L11+N11+P11+R11+T11+V11+X11)</f>
        <v>2188.2577732821792</v>
      </c>
      <c r="Z11" s="22">
        <f t="shared" ref="Z11:Z19" si="10">ROW(B11)-10</f>
        <v>1</v>
      </c>
    </row>
    <row r="12" spans="1:26" x14ac:dyDescent="0.3">
      <c r="A12" s="19">
        <v>2</v>
      </c>
      <c r="B12" s="13" t="s">
        <v>330</v>
      </c>
      <c r="C12" s="13" t="s">
        <v>288</v>
      </c>
      <c r="D12" s="13" t="s">
        <v>278</v>
      </c>
      <c r="E12" s="7"/>
      <c r="F12" s="7">
        <f>IF(E12=0,,($E$9-E12)*$E$7*100/$E$9)</f>
        <v>0</v>
      </c>
      <c r="G12" s="22">
        <v>9</v>
      </c>
      <c r="H12" s="7">
        <f t="shared" si="0"/>
        <v>387.79661016949154</v>
      </c>
      <c r="I12" s="23"/>
      <c r="J12" s="23">
        <f t="shared" si="1"/>
        <v>0</v>
      </c>
      <c r="K12" s="23"/>
      <c r="L12" s="23">
        <f t="shared" si="2"/>
        <v>0</v>
      </c>
      <c r="M12" s="23">
        <v>3</v>
      </c>
      <c r="N12" s="23">
        <f t="shared" si="3"/>
        <v>396.05263157894734</v>
      </c>
      <c r="O12" s="22">
        <v>24</v>
      </c>
      <c r="P12" s="22">
        <f t="shared" si="4"/>
        <v>354.06698564593302</v>
      </c>
      <c r="Q12" s="22">
        <v>5</v>
      </c>
      <c r="R12" s="22">
        <f t="shared" si="5"/>
        <v>253.125</v>
      </c>
      <c r="S12" s="7"/>
      <c r="T12" s="22">
        <f t="shared" si="6"/>
        <v>0</v>
      </c>
      <c r="U12" s="7">
        <v>7</v>
      </c>
      <c r="V12" s="22">
        <f t="shared" si="7"/>
        <v>284.21052631578948</v>
      </c>
      <c r="W12" s="7">
        <v>52</v>
      </c>
      <c r="X12" s="7">
        <f t="shared" si="8"/>
        <v>210</v>
      </c>
      <c r="Y12" s="27">
        <f t="shared" si="9"/>
        <v>1885.2517537101612</v>
      </c>
      <c r="Z12" s="22">
        <f t="shared" si="10"/>
        <v>2</v>
      </c>
    </row>
    <row r="13" spans="1:26" x14ac:dyDescent="0.3">
      <c r="A13" s="19">
        <v>3</v>
      </c>
      <c r="B13" s="13" t="s">
        <v>331</v>
      </c>
      <c r="C13" s="13" t="s">
        <v>332</v>
      </c>
      <c r="D13" s="13" t="s">
        <v>333</v>
      </c>
      <c r="E13" s="6"/>
      <c r="F13" s="7">
        <f>IF(E13=0,,($E$9-E13)*$E$7*100/$E$9)</f>
        <v>0</v>
      </c>
      <c r="G13" s="21">
        <v>29</v>
      </c>
      <c r="H13" s="7">
        <f t="shared" si="0"/>
        <v>360.67796610169489</v>
      </c>
      <c r="I13" s="13">
        <v>16</v>
      </c>
      <c r="J13" s="23">
        <f t="shared" si="1"/>
        <v>96.774193548387103</v>
      </c>
      <c r="K13" s="13"/>
      <c r="L13" s="23">
        <f t="shared" si="2"/>
        <v>0</v>
      </c>
      <c r="M13" s="13">
        <v>80</v>
      </c>
      <c r="N13" s="23">
        <f t="shared" si="3"/>
        <v>294.73684210526318</v>
      </c>
      <c r="O13" s="21"/>
      <c r="P13" s="22">
        <f t="shared" si="4"/>
        <v>0</v>
      </c>
      <c r="Q13" s="21">
        <v>2</v>
      </c>
      <c r="R13" s="22">
        <f t="shared" si="5"/>
        <v>281.25</v>
      </c>
      <c r="S13" s="6"/>
      <c r="T13" s="22">
        <f t="shared" si="6"/>
        <v>0</v>
      </c>
      <c r="U13" s="6">
        <v>10</v>
      </c>
      <c r="V13" s="22">
        <f t="shared" si="7"/>
        <v>277.44360902255642</v>
      </c>
      <c r="W13" s="6">
        <v>32</v>
      </c>
      <c r="X13" s="7">
        <f t="shared" si="8"/>
        <v>360</v>
      </c>
      <c r="Y13" s="27">
        <f t="shared" si="9"/>
        <v>1670.8826107779014</v>
      </c>
      <c r="Z13" s="22">
        <f t="shared" si="10"/>
        <v>3</v>
      </c>
    </row>
    <row r="14" spans="1:26" x14ac:dyDescent="0.3">
      <c r="A14" s="19">
        <v>4</v>
      </c>
      <c r="B14" s="13" t="s">
        <v>362</v>
      </c>
      <c r="C14" s="13" t="s">
        <v>360</v>
      </c>
      <c r="D14" s="13" t="s">
        <v>278</v>
      </c>
      <c r="E14" s="6"/>
      <c r="F14" s="7">
        <f>IF(E14=0,,($I$9-E14)*$I$7*100/$I$9)</f>
        <v>0</v>
      </c>
      <c r="G14" s="13">
        <v>27</v>
      </c>
      <c r="H14" s="7">
        <f t="shared" si="0"/>
        <v>363.38983050847457</v>
      </c>
      <c r="I14" s="13"/>
      <c r="J14" s="23">
        <f t="shared" si="1"/>
        <v>0</v>
      </c>
      <c r="K14" s="13"/>
      <c r="L14" s="23">
        <f t="shared" si="2"/>
        <v>0</v>
      </c>
      <c r="M14" s="13">
        <v>60</v>
      </c>
      <c r="N14" s="23">
        <f t="shared" si="3"/>
        <v>321.05263157894734</v>
      </c>
      <c r="O14" s="21"/>
      <c r="P14" s="22">
        <f t="shared" si="4"/>
        <v>0</v>
      </c>
      <c r="Q14" s="21">
        <v>2</v>
      </c>
      <c r="R14" s="22">
        <f t="shared" si="5"/>
        <v>281.25</v>
      </c>
      <c r="S14" s="6"/>
      <c r="T14" s="22">
        <f t="shared" si="6"/>
        <v>0</v>
      </c>
      <c r="U14" s="6">
        <v>7</v>
      </c>
      <c r="V14" s="22">
        <f t="shared" si="7"/>
        <v>284.21052631578948</v>
      </c>
      <c r="W14" s="6">
        <v>35</v>
      </c>
      <c r="X14" s="7">
        <f t="shared" si="8"/>
        <v>337.5</v>
      </c>
      <c r="Y14" s="27">
        <f t="shared" si="9"/>
        <v>1587.4029884032116</v>
      </c>
      <c r="Z14" s="22">
        <f t="shared" si="10"/>
        <v>4</v>
      </c>
    </row>
    <row r="15" spans="1:26" x14ac:dyDescent="0.3">
      <c r="A15" s="19">
        <v>5</v>
      </c>
      <c r="B15" s="13" t="s">
        <v>282</v>
      </c>
      <c r="C15" s="13" t="s">
        <v>283</v>
      </c>
      <c r="D15" s="13" t="s">
        <v>284</v>
      </c>
      <c r="E15" s="7">
        <v>9</v>
      </c>
      <c r="F15" s="7">
        <f>IF(E15=0,,($E$9-E15)*$E$7*100/$E$9)</f>
        <v>50</v>
      </c>
      <c r="G15" s="22">
        <v>60</v>
      </c>
      <c r="H15" s="7">
        <f t="shared" si="0"/>
        <v>318.64406779661016</v>
      </c>
      <c r="I15" s="23"/>
      <c r="J15" s="23">
        <f t="shared" si="1"/>
        <v>0</v>
      </c>
      <c r="K15" s="23"/>
      <c r="L15" s="23">
        <f t="shared" si="2"/>
        <v>0</v>
      </c>
      <c r="M15" s="23">
        <v>59</v>
      </c>
      <c r="N15" s="23">
        <f t="shared" si="3"/>
        <v>322.36842105263156</v>
      </c>
      <c r="O15" s="22">
        <v>61</v>
      </c>
      <c r="P15" s="22">
        <f t="shared" si="4"/>
        <v>283.25358851674639</v>
      </c>
      <c r="Q15" s="22">
        <v>3</v>
      </c>
      <c r="R15" s="22">
        <f t="shared" si="5"/>
        <v>271.875</v>
      </c>
      <c r="S15" s="7">
        <v>54</v>
      </c>
      <c r="T15" s="22">
        <f t="shared" si="6"/>
        <v>186.71328671328672</v>
      </c>
      <c r="U15" s="7"/>
      <c r="V15" s="22">
        <f t="shared" si="7"/>
        <v>0</v>
      </c>
      <c r="W15" s="7">
        <v>66</v>
      </c>
      <c r="X15" s="7">
        <f t="shared" si="8"/>
        <v>105</v>
      </c>
      <c r="Y15" s="27">
        <f t="shared" si="9"/>
        <v>1537.854364079275</v>
      </c>
      <c r="Z15" s="21">
        <f t="shared" si="10"/>
        <v>5</v>
      </c>
    </row>
    <row r="16" spans="1:26" x14ac:dyDescent="0.3">
      <c r="A16" s="19">
        <v>6</v>
      </c>
      <c r="B16" s="13" t="s">
        <v>354</v>
      </c>
      <c r="C16" s="13" t="s">
        <v>352</v>
      </c>
      <c r="D16" s="13" t="s">
        <v>353</v>
      </c>
      <c r="E16" s="6"/>
      <c r="F16" s="7">
        <f>IF(E16=0,,($I$9-E16)*$I$7*100/$I$9)</f>
        <v>0</v>
      </c>
      <c r="G16" s="13">
        <v>60</v>
      </c>
      <c r="H16" s="7">
        <f t="shared" si="0"/>
        <v>318.64406779661016</v>
      </c>
      <c r="I16" s="13"/>
      <c r="J16" s="23">
        <f t="shared" si="1"/>
        <v>0</v>
      </c>
      <c r="K16" s="13"/>
      <c r="L16" s="23">
        <f t="shared" si="2"/>
        <v>0</v>
      </c>
      <c r="M16" s="13">
        <v>54</v>
      </c>
      <c r="N16" s="23">
        <f t="shared" si="3"/>
        <v>328.94736842105266</v>
      </c>
      <c r="O16" s="21"/>
      <c r="P16" s="22">
        <f t="shared" si="4"/>
        <v>0</v>
      </c>
      <c r="Q16" s="21">
        <v>3</v>
      </c>
      <c r="R16" s="22">
        <f t="shared" si="5"/>
        <v>271.875</v>
      </c>
      <c r="S16" s="6">
        <v>40</v>
      </c>
      <c r="T16" s="22">
        <f t="shared" si="6"/>
        <v>216.08391608391608</v>
      </c>
      <c r="U16" s="6">
        <v>60</v>
      </c>
      <c r="V16" s="22">
        <f t="shared" si="7"/>
        <v>164.66165413533835</v>
      </c>
      <c r="W16" s="6">
        <v>63</v>
      </c>
      <c r="X16" s="7">
        <f t="shared" si="8"/>
        <v>127.5</v>
      </c>
      <c r="Y16" s="27">
        <f t="shared" si="9"/>
        <v>1427.7120064369171</v>
      </c>
      <c r="Z16" s="22">
        <f t="shared" si="10"/>
        <v>6</v>
      </c>
    </row>
    <row r="17" spans="1:26" x14ac:dyDescent="0.3">
      <c r="A17" s="19">
        <v>7</v>
      </c>
      <c r="B17" s="13" t="s">
        <v>361</v>
      </c>
      <c r="C17" s="13" t="s">
        <v>359</v>
      </c>
      <c r="D17" s="13" t="s">
        <v>175</v>
      </c>
      <c r="E17" s="6"/>
      <c r="F17" s="7">
        <f>IF(E17=0,,($I$9-E17)*$I$7*100/$I$9)</f>
        <v>0</v>
      </c>
      <c r="G17" s="13">
        <v>38</v>
      </c>
      <c r="H17" s="7">
        <f t="shared" si="0"/>
        <v>348.47457627118644</v>
      </c>
      <c r="I17" s="13"/>
      <c r="J17" s="23">
        <f t="shared" si="1"/>
        <v>0</v>
      </c>
      <c r="K17" s="13"/>
      <c r="L17" s="23">
        <f t="shared" si="2"/>
        <v>0</v>
      </c>
      <c r="M17" s="13">
        <v>56</v>
      </c>
      <c r="N17" s="23">
        <f t="shared" si="3"/>
        <v>326.31578947368422</v>
      </c>
      <c r="O17" s="21"/>
      <c r="P17" s="22">
        <f t="shared" si="4"/>
        <v>0</v>
      </c>
      <c r="Q17" s="21">
        <v>6</v>
      </c>
      <c r="R17" s="22">
        <f t="shared" si="5"/>
        <v>243.75</v>
      </c>
      <c r="S17" s="6"/>
      <c r="T17" s="22">
        <f t="shared" si="6"/>
        <v>0</v>
      </c>
      <c r="U17" s="6"/>
      <c r="V17" s="22">
        <f t="shared" si="7"/>
        <v>0</v>
      </c>
      <c r="W17" s="6">
        <v>57</v>
      </c>
      <c r="X17" s="7">
        <f t="shared" si="8"/>
        <v>172.5</v>
      </c>
      <c r="Y17" s="27">
        <f t="shared" si="9"/>
        <v>1091.0403657448705</v>
      </c>
      <c r="Z17" s="22">
        <f t="shared" si="10"/>
        <v>7</v>
      </c>
    </row>
    <row r="18" spans="1:26" x14ac:dyDescent="0.3">
      <c r="A18" s="19">
        <v>8</v>
      </c>
      <c r="B18" s="13" t="s">
        <v>357</v>
      </c>
      <c r="C18" s="13" t="s">
        <v>356</v>
      </c>
      <c r="D18" s="13" t="s">
        <v>164</v>
      </c>
      <c r="E18" s="6"/>
      <c r="F18" s="7">
        <f>IF(E18=0,,($I$9-E18)*$I$7*100/$I$9)</f>
        <v>0</v>
      </c>
      <c r="G18" s="13">
        <v>25</v>
      </c>
      <c r="H18" s="7">
        <f t="shared" si="0"/>
        <v>366.10169491525426</v>
      </c>
      <c r="I18" s="13"/>
      <c r="J18" s="23">
        <f t="shared" si="1"/>
        <v>0</v>
      </c>
      <c r="K18" s="13"/>
      <c r="L18" s="23">
        <f t="shared" si="2"/>
        <v>0</v>
      </c>
      <c r="M18" s="13">
        <v>25</v>
      </c>
      <c r="N18" s="23">
        <f t="shared" si="3"/>
        <v>367.10526315789474</v>
      </c>
      <c r="O18" s="21"/>
      <c r="P18" s="22">
        <f t="shared" si="4"/>
        <v>0</v>
      </c>
      <c r="Q18" s="21">
        <v>3</v>
      </c>
      <c r="R18" s="22">
        <f t="shared" si="5"/>
        <v>271.875</v>
      </c>
      <c r="S18" s="6"/>
      <c r="T18" s="22">
        <f t="shared" si="6"/>
        <v>0</v>
      </c>
      <c r="U18" s="6"/>
      <c r="V18" s="22">
        <f t="shared" si="7"/>
        <v>0</v>
      </c>
      <c r="W18" s="6"/>
      <c r="X18" s="7">
        <f t="shared" si="8"/>
        <v>0</v>
      </c>
      <c r="Y18" s="27">
        <f t="shared" si="9"/>
        <v>1005.0819580731491</v>
      </c>
      <c r="Z18" s="22">
        <f t="shared" si="10"/>
        <v>8</v>
      </c>
    </row>
    <row r="19" spans="1:26" x14ac:dyDescent="0.3">
      <c r="A19" s="19">
        <v>9</v>
      </c>
      <c r="B19" s="13" t="s">
        <v>287</v>
      </c>
      <c r="C19" s="13" t="s">
        <v>288</v>
      </c>
      <c r="D19" s="13" t="s">
        <v>278</v>
      </c>
      <c r="E19" s="7">
        <v>12</v>
      </c>
      <c r="F19" s="7">
        <f>IF(E19=0,,($E$9-E19)*$E$7*100/$E$9)</f>
        <v>0</v>
      </c>
      <c r="G19" s="22">
        <v>131</v>
      </c>
      <c r="H19" s="7">
        <f t="shared" si="0"/>
        <v>222.37288135593221</v>
      </c>
      <c r="I19" s="23">
        <v>10</v>
      </c>
      <c r="J19" s="23">
        <f t="shared" si="1"/>
        <v>135.48387096774192</v>
      </c>
      <c r="K19" s="23"/>
      <c r="L19" s="23">
        <f t="shared" si="2"/>
        <v>0</v>
      </c>
      <c r="M19" s="23">
        <v>64</v>
      </c>
      <c r="N19" s="23">
        <f t="shared" si="3"/>
        <v>315.78947368421052</v>
      </c>
      <c r="O19" s="22"/>
      <c r="P19" s="22">
        <f t="shared" si="4"/>
        <v>0</v>
      </c>
      <c r="Q19" s="22">
        <v>11</v>
      </c>
      <c r="R19" s="22">
        <f t="shared" si="5"/>
        <v>196.875</v>
      </c>
      <c r="S19" s="7"/>
      <c r="T19" s="22">
        <f t="shared" si="6"/>
        <v>0</v>
      </c>
      <c r="U19" s="7">
        <v>75</v>
      </c>
      <c r="V19" s="22">
        <f t="shared" si="7"/>
        <v>130.82706766917292</v>
      </c>
      <c r="W19" s="7"/>
      <c r="X19" s="7">
        <f t="shared" si="8"/>
        <v>0</v>
      </c>
      <c r="Y19" s="27">
        <f t="shared" si="9"/>
        <v>1001.3482936770577</v>
      </c>
      <c r="Z19" s="21">
        <f t="shared" si="10"/>
        <v>9</v>
      </c>
    </row>
    <row r="20" spans="1:26" x14ac:dyDescent="0.3">
      <c r="A20" s="19">
        <v>10</v>
      </c>
      <c r="B20" s="21" t="s">
        <v>859</v>
      </c>
      <c r="C20" s="21" t="s">
        <v>536</v>
      </c>
      <c r="D20" s="21" t="s">
        <v>278</v>
      </c>
      <c r="E20" s="6"/>
      <c r="F20" s="7">
        <f>IF(E20=0,,($I$9-E20)*$I$7*100/$I$9)</f>
        <v>0</v>
      </c>
      <c r="G20" s="6"/>
      <c r="H20" s="7">
        <f t="shared" si="0"/>
        <v>0</v>
      </c>
      <c r="I20" s="6"/>
      <c r="J20" s="23">
        <f t="shared" si="1"/>
        <v>0</v>
      </c>
      <c r="K20" s="6"/>
      <c r="L20" s="23">
        <f t="shared" si="2"/>
        <v>0</v>
      </c>
      <c r="M20" s="13">
        <v>66</v>
      </c>
      <c r="N20" s="23">
        <f t="shared" si="3"/>
        <v>313.15789473684208</v>
      </c>
      <c r="O20" s="21"/>
      <c r="P20" s="22">
        <f t="shared" si="4"/>
        <v>0</v>
      </c>
      <c r="Q20" s="21">
        <v>3</v>
      </c>
      <c r="R20" s="22">
        <f t="shared" si="5"/>
        <v>271.875</v>
      </c>
      <c r="S20" s="6"/>
      <c r="T20" s="22">
        <f t="shared" si="6"/>
        <v>0</v>
      </c>
      <c r="U20" s="6">
        <v>29</v>
      </c>
      <c r="V20" s="22">
        <f t="shared" si="7"/>
        <v>234.58646616541353</v>
      </c>
      <c r="W20" s="6"/>
      <c r="X20" s="7">
        <f t="shared" si="8"/>
        <v>0</v>
      </c>
      <c r="Y20" s="27">
        <f t="shared" si="9"/>
        <v>819.61936090225561</v>
      </c>
      <c r="Z20" s="21">
        <f t="shared" ref="Z20:Z48" si="11">ROW(B20)-10</f>
        <v>10</v>
      </c>
    </row>
    <row r="21" spans="1:26" x14ac:dyDescent="0.3">
      <c r="A21" s="19">
        <v>11</v>
      </c>
      <c r="B21" s="13" t="s">
        <v>350</v>
      </c>
      <c r="C21" s="13" t="s">
        <v>348</v>
      </c>
      <c r="D21" s="13" t="s">
        <v>345</v>
      </c>
      <c r="E21" s="7"/>
      <c r="F21" s="7">
        <f>IF(E21=0,,($I$9-E21)*$I$7*100/$I$9)</f>
        <v>0</v>
      </c>
      <c r="G21" s="23">
        <v>117</v>
      </c>
      <c r="H21" s="7">
        <f t="shared" si="0"/>
        <v>241.35593220338984</v>
      </c>
      <c r="I21" s="23"/>
      <c r="J21" s="23">
        <f t="shared" si="1"/>
        <v>0</v>
      </c>
      <c r="K21" s="23"/>
      <c r="L21" s="23">
        <f t="shared" si="2"/>
        <v>0</v>
      </c>
      <c r="M21" s="23"/>
      <c r="N21" s="23">
        <f t="shared" si="3"/>
        <v>0</v>
      </c>
      <c r="O21" s="22"/>
      <c r="P21" s="22">
        <f t="shared" si="4"/>
        <v>0</v>
      </c>
      <c r="Q21" s="22">
        <v>1</v>
      </c>
      <c r="R21" s="22">
        <f t="shared" si="5"/>
        <v>290.625</v>
      </c>
      <c r="S21" s="7"/>
      <c r="T21" s="22">
        <f t="shared" si="6"/>
        <v>0</v>
      </c>
      <c r="U21" s="7">
        <v>24</v>
      </c>
      <c r="V21" s="22">
        <f t="shared" si="7"/>
        <v>245.86466165413535</v>
      </c>
      <c r="W21" s="7"/>
      <c r="X21" s="7">
        <f t="shared" si="8"/>
        <v>0</v>
      </c>
      <c r="Y21" s="27">
        <f t="shared" si="9"/>
        <v>777.84559385752516</v>
      </c>
      <c r="Z21" s="21">
        <f t="shared" si="11"/>
        <v>11</v>
      </c>
    </row>
    <row r="22" spans="1:26" x14ac:dyDescent="0.3">
      <c r="A22" s="19">
        <v>12</v>
      </c>
      <c r="B22" s="13" t="s">
        <v>358</v>
      </c>
      <c r="C22" s="13" t="s">
        <v>355</v>
      </c>
      <c r="D22" s="13" t="s">
        <v>164</v>
      </c>
      <c r="E22" s="6"/>
      <c r="F22" s="7">
        <f>IF(E22=0,,($I$9-E22)*$I$7*100/$I$9)</f>
        <v>0</v>
      </c>
      <c r="G22" s="13">
        <v>114</v>
      </c>
      <c r="H22" s="7">
        <f t="shared" si="0"/>
        <v>245.42372881355934</v>
      </c>
      <c r="I22" s="13"/>
      <c r="J22" s="23">
        <f t="shared" si="1"/>
        <v>0</v>
      </c>
      <c r="K22" s="13"/>
      <c r="L22" s="23">
        <f t="shared" si="2"/>
        <v>0</v>
      </c>
      <c r="M22" s="13">
        <v>47</v>
      </c>
      <c r="N22" s="23">
        <f t="shared" si="3"/>
        <v>338.15789473684208</v>
      </c>
      <c r="O22" s="21"/>
      <c r="P22" s="22">
        <f t="shared" si="4"/>
        <v>0</v>
      </c>
      <c r="Q22" s="21">
        <v>12</v>
      </c>
      <c r="R22" s="22">
        <f t="shared" si="5"/>
        <v>187.5</v>
      </c>
      <c r="S22" s="6"/>
      <c r="T22" s="22">
        <f t="shared" si="6"/>
        <v>0</v>
      </c>
      <c r="U22" s="6"/>
      <c r="V22" s="22">
        <f t="shared" si="7"/>
        <v>0</v>
      </c>
      <c r="W22" s="6"/>
      <c r="X22" s="7">
        <f t="shared" si="8"/>
        <v>0</v>
      </c>
      <c r="Y22" s="27">
        <f t="shared" si="9"/>
        <v>771.08162355040145</v>
      </c>
      <c r="Z22" s="21">
        <f t="shared" si="11"/>
        <v>12</v>
      </c>
    </row>
    <row r="23" spans="1:26" x14ac:dyDescent="0.3">
      <c r="A23" s="19">
        <v>13</v>
      </c>
      <c r="B23" s="13" t="s">
        <v>472</v>
      </c>
      <c r="C23" s="13" t="s">
        <v>444</v>
      </c>
      <c r="D23" s="13" t="s">
        <v>408</v>
      </c>
      <c r="E23" s="6"/>
      <c r="F23" s="7">
        <f>IF(E23=0,,($I$9-E23)*$I$7*100/$I$9)</f>
        <v>0</v>
      </c>
      <c r="G23" s="6"/>
      <c r="H23" s="7">
        <f t="shared" si="0"/>
        <v>0</v>
      </c>
      <c r="I23" s="21"/>
      <c r="J23" s="23">
        <f t="shared" si="1"/>
        <v>0</v>
      </c>
      <c r="K23" s="21">
        <v>6</v>
      </c>
      <c r="L23" s="23">
        <f t="shared" si="2"/>
        <v>196.05263157894737</v>
      </c>
      <c r="M23" s="13">
        <v>85</v>
      </c>
      <c r="N23" s="23">
        <f t="shared" si="3"/>
        <v>288.15789473684208</v>
      </c>
      <c r="O23" s="21"/>
      <c r="P23" s="22">
        <f t="shared" si="4"/>
        <v>0</v>
      </c>
      <c r="Q23" s="21">
        <v>14</v>
      </c>
      <c r="R23" s="22">
        <f t="shared" si="5"/>
        <v>168.75</v>
      </c>
      <c r="S23" s="6"/>
      <c r="T23" s="22">
        <f t="shared" si="6"/>
        <v>0</v>
      </c>
      <c r="U23" s="6"/>
      <c r="V23" s="22">
        <f t="shared" si="7"/>
        <v>0</v>
      </c>
      <c r="W23" s="6"/>
      <c r="X23" s="7">
        <f t="shared" si="8"/>
        <v>0</v>
      </c>
      <c r="Y23" s="27">
        <f t="shared" si="9"/>
        <v>652.96052631578948</v>
      </c>
      <c r="Z23" s="21">
        <f t="shared" si="11"/>
        <v>13</v>
      </c>
    </row>
    <row r="24" spans="1:26" x14ac:dyDescent="0.3">
      <c r="A24" s="19">
        <v>14</v>
      </c>
      <c r="B24" s="13" t="s">
        <v>541</v>
      </c>
      <c r="C24" s="13" t="s">
        <v>538</v>
      </c>
      <c r="D24" s="13" t="s">
        <v>284</v>
      </c>
      <c r="E24" s="6"/>
      <c r="F24" s="7"/>
      <c r="G24" s="6"/>
      <c r="H24" s="7">
        <f t="shared" si="0"/>
        <v>0</v>
      </c>
      <c r="I24" s="21"/>
      <c r="J24" s="23"/>
      <c r="K24" s="21"/>
      <c r="L24" s="23"/>
      <c r="M24" s="13">
        <v>31</v>
      </c>
      <c r="N24" s="23">
        <f t="shared" si="3"/>
        <v>359.21052631578948</v>
      </c>
      <c r="O24" s="21"/>
      <c r="P24" s="22">
        <f t="shared" si="4"/>
        <v>0</v>
      </c>
      <c r="Q24" s="21">
        <v>1</v>
      </c>
      <c r="R24" s="22">
        <f t="shared" si="5"/>
        <v>290.625</v>
      </c>
      <c r="S24" s="6"/>
      <c r="T24" s="22">
        <f t="shared" si="6"/>
        <v>0</v>
      </c>
      <c r="U24" s="6"/>
      <c r="V24" s="22">
        <f t="shared" si="7"/>
        <v>0</v>
      </c>
      <c r="W24" s="6"/>
      <c r="X24" s="7">
        <f t="shared" si="8"/>
        <v>0</v>
      </c>
      <c r="Y24" s="27">
        <f t="shared" si="9"/>
        <v>649.83552631578948</v>
      </c>
      <c r="Z24" s="21">
        <f t="shared" si="11"/>
        <v>14</v>
      </c>
    </row>
    <row r="25" spans="1:26" x14ac:dyDescent="0.3">
      <c r="A25" s="19">
        <v>15</v>
      </c>
      <c r="B25" s="13" t="s">
        <v>832</v>
      </c>
      <c r="C25" s="13" t="s">
        <v>831</v>
      </c>
      <c r="D25" s="13" t="s">
        <v>729</v>
      </c>
      <c r="E25" s="6"/>
      <c r="F25" s="7"/>
      <c r="G25" s="6"/>
      <c r="H25" s="7">
        <f t="shared" si="0"/>
        <v>0</v>
      </c>
      <c r="I25" s="21"/>
      <c r="J25" s="23"/>
      <c r="K25" s="21"/>
      <c r="L25" s="23"/>
      <c r="M25" s="13"/>
      <c r="N25" s="23"/>
      <c r="O25" s="21"/>
      <c r="P25" s="22">
        <f t="shared" si="4"/>
        <v>0</v>
      </c>
      <c r="Q25" s="21">
        <v>6</v>
      </c>
      <c r="R25" s="22">
        <f t="shared" si="5"/>
        <v>243.75</v>
      </c>
      <c r="S25" s="6">
        <v>53</v>
      </c>
      <c r="T25" s="22">
        <f t="shared" si="6"/>
        <v>188.8111888111888</v>
      </c>
      <c r="U25" s="6">
        <v>57</v>
      </c>
      <c r="V25" s="22">
        <f t="shared" si="7"/>
        <v>171.42857142857142</v>
      </c>
      <c r="W25" s="6">
        <v>76</v>
      </c>
      <c r="X25" s="7">
        <f t="shared" si="8"/>
        <v>30</v>
      </c>
      <c r="Y25" s="27">
        <f t="shared" si="9"/>
        <v>633.98976023976024</v>
      </c>
      <c r="Z25" s="21">
        <f t="shared" si="11"/>
        <v>15</v>
      </c>
    </row>
    <row r="26" spans="1:26" x14ac:dyDescent="0.3">
      <c r="A26" s="19">
        <v>16</v>
      </c>
      <c r="B26" s="13" t="s">
        <v>343</v>
      </c>
      <c r="C26" s="13" t="s">
        <v>344</v>
      </c>
      <c r="D26" s="13" t="s">
        <v>345</v>
      </c>
      <c r="E26" s="7"/>
      <c r="F26" s="7">
        <f>IF(E26=0,,($E$9-E26)*$E$7*100/$E$9)</f>
        <v>0</v>
      </c>
      <c r="G26" s="22">
        <v>113</v>
      </c>
      <c r="H26" s="7">
        <f t="shared" si="0"/>
        <v>246.77966101694915</v>
      </c>
      <c r="I26" s="23"/>
      <c r="J26" s="23">
        <f>IF(I26=0,,($I$9-I26)*$I$7*100/$I$9)</f>
        <v>0</v>
      </c>
      <c r="K26" s="23"/>
      <c r="L26" s="23">
        <f>IF(K26=0,,($K$9-K26)*$K$7*100/$K$9)</f>
        <v>0</v>
      </c>
      <c r="M26" s="23"/>
      <c r="N26" s="23">
        <f t="shared" ref="N26:N31" si="12">IF(M26=0,,($M$9-M26)*$M$7*100/$M$9)</f>
        <v>0</v>
      </c>
      <c r="O26" s="22"/>
      <c r="P26" s="22">
        <f t="shared" si="4"/>
        <v>0</v>
      </c>
      <c r="Q26" s="22">
        <v>9</v>
      </c>
      <c r="R26" s="22">
        <f t="shared" si="5"/>
        <v>215.625</v>
      </c>
      <c r="S26" s="7"/>
      <c r="T26" s="22">
        <f t="shared" si="6"/>
        <v>0</v>
      </c>
      <c r="U26" s="7">
        <v>63</v>
      </c>
      <c r="V26" s="22">
        <f t="shared" si="7"/>
        <v>157.89473684210526</v>
      </c>
      <c r="W26" s="7"/>
      <c r="X26" s="7">
        <f t="shared" si="8"/>
        <v>0</v>
      </c>
      <c r="Y26" s="27">
        <f t="shared" si="9"/>
        <v>620.29939785905435</v>
      </c>
      <c r="Z26" s="21">
        <f t="shared" si="11"/>
        <v>16</v>
      </c>
    </row>
    <row r="27" spans="1:26" x14ac:dyDescent="0.3">
      <c r="A27" s="19">
        <v>17</v>
      </c>
      <c r="B27" s="13" t="s">
        <v>543</v>
      </c>
      <c r="C27" s="13" t="s">
        <v>537</v>
      </c>
      <c r="D27" s="13" t="s">
        <v>131</v>
      </c>
      <c r="E27" s="6"/>
      <c r="F27" s="7"/>
      <c r="G27" s="6"/>
      <c r="H27" s="7">
        <f t="shared" si="0"/>
        <v>0</v>
      </c>
      <c r="I27" s="21"/>
      <c r="J27" s="23"/>
      <c r="K27" s="21"/>
      <c r="L27" s="23"/>
      <c r="M27" s="13">
        <v>67</v>
      </c>
      <c r="N27" s="23">
        <f t="shared" si="12"/>
        <v>311.84210526315792</v>
      </c>
      <c r="O27" s="21"/>
      <c r="P27" s="22">
        <f t="shared" si="4"/>
        <v>0</v>
      </c>
      <c r="Q27" s="21">
        <v>6</v>
      </c>
      <c r="R27" s="22">
        <f t="shared" si="5"/>
        <v>243.75</v>
      </c>
      <c r="S27" s="6"/>
      <c r="T27" s="22">
        <f t="shared" si="6"/>
        <v>0</v>
      </c>
      <c r="U27" s="6"/>
      <c r="V27" s="22">
        <f t="shared" si="7"/>
        <v>0</v>
      </c>
      <c r="W27" s="6"/>
      <c r="X27" s="7">
        <f t="shared" si="8"/>
        <v>0</v>
      </c>
      <c r="Y27" s="27">
        <f t="shared" si="9"/>
        <v>555.59210526315792</v>
      </c>
      <c r="Z27" s="21">
        <f t="shared" si="11"/>
        <v>17</v>
      </c>
    </row>
    <row r="28" spans="1:26" x14ac:dyDescent="0.3">
      <c r="A28" s="19">
        <v>18</v>
      </c>
      <c r="B28" s="13" t="s">
        <v>346</v>
      </c>
      <c r="C28" s="13" t="s">
        <v>347</v>
      </c>
      <c r="D28" s="13" t="s">
        <v>345</v>
      </c>
      <c r="E28" s="7"/>
      <c r="F28" s="7">
        <f>IF(E28=0,,($E$9-E28)*$E$7*100/$E$9)</f>
        <v>0</v>
      </c>
      <c r="G28" s="22">
        <v>124</v>
      </c>
      <c r="H28" s="7">
        <f t="shared" si="0"/>
        <v>231.86440677966101</v>
      </c>
      <c r="I28" s="23"/>
      <c r="J28" s="23">
        <f>IF(I28=0,,($I$9-I28)*$I$7*100/$I$9)</f>
        <v>0</v>
      </c>
      <c r="K28" s="23"/>
      <c r="L28" s="23">
        <f>IF(K28=0,,($K$9-K28)*$K$7*100/$K$9)</f>
        <v>0</v>
      </c>
      <c r="M28" s="23"/>
      <c r="N28" s="23">
        <f t="shared" si="12"/>
        <v>0</v>
      </c>
      <c r="O28" s="22"/>
      <c r="P28" s="22">
        <f t="shared" si="4"/>
        <v>0</v>
      </c>
      <c r="Q28" s="22">
        <v>13</v>
      </c>
      <c r="R28" s="22">
        <f t="shared" si="5"/>
        <v>178.125</v>
      </c>
      <c r="S28" s="7"/>
      <c r="T28" s="22">
        <f t="shared" si="6"/>
        <v>0</v>
      </c>
      <c r="U28" s="7">
        <v>78</v>
      </c>
      <c r="V28" s="22">
        <f t="shared" si="7"/>
        <v>124.06015037593986</v>
      </c>
      <c r="W28" s="7"/>
      <c r="X28" s="7">
        <f t="shared" si="8"/>
        <v>0</v>
      </c>
      <c r="Y28" s="27">
        <f t="shared" si="9"/>
        <v>534.04955715560084</v>
      </c>
      <c r="Z28" s="21">
        <f t="shared" si="11"/>
        <v>18</v>
      </c>
    </row>
    <row r="29" spans="1:26" x14ac:dyDescent="0.3">
      <c r="A29" s="19">
        <v>19</v>
      </c>
      <c r="B29" s="13" t="s">
        <v>454</v>
      </c>
      <c r="C29" s="13" t="s">
        <v>453</v>
      </c>
      <c r="D29" s="13" t="s">
        <v>408</v>
      </c>
      <c r="E29" s="6"/>
      <c r="F29" s="7">
        <f>IF(E29=0,,($I$9-E29)*$I$7*100/$I$9)</f>
        <v>0</v>
      </c>
      <c r="G29" s="6"/>
      <c r="H29" s="7">
        <f t="shared" si="0"/>
        <v>0</v>
      </c>
      <c r="I29" s="13"/>
      <c r="J29" s="23">
        <f>IF(I29=0,,($I$9-I29)*$I$7*100/$I$9)</f>
        <v>0</v>
      </c>
      <c r="K29" s="21">
        <v>3</v>
      </c>
      <c r="L29" s="23">
        <f>IF(K29=0,,($K$9-K29)*$K$7*100/$K$9)</f>
        <v>198.02631578947367</v>
      </c>
      <c r="M29" s="13"/>
      <c r="N29" s="23">
        <f t="shared" si="12"/>
        <v>0</v>
      </c>
      <c r="O29" s="21"/>
      <c r="P29" s="22">
        <f t="shared" si="4"/>
        <v>0</v>
      </c>
      <c r="Q29" s="21">
        <v>3</v>
      </c>
      <c r="R29" s="22">
        <f t="shared" si="5"/>
        <v>271.875</v>
      </c>
      <c r="S29" s="6"/>
      <c r="T29" s="22">
        <f t="shared" si="6"/>
        <v>0</v>
      </c>
      <c r="U29" s="6"/>
      <c r="V29" s="22">
        <f t="shared" si="7"/>
        <v>0</v>
      </c>
      <c r="W29" s="6"/>
      <c r="X29" s="7">
        <f t="shared" si="8"/>
        <v>0</v>
      </c>
      <c r="Y29" s="27">
        <f t="shared" si="9"/>
        <v>469.90131578947364</v>
      </c>
      <c r="Z29" s="21">
        <f t="shared" si="11"/>
        <v>19</v>
      </c>
    </row>
    <row r="30" spans="1:26" x14ac:dyDescent="0.3">
      <c r="A30" s="19">
        <v>20</v>
      </c>
      <c r="B30" s="13" t="s">
        <v>351</v>
      </c>
      <c r="C30" s="13" t="s">
        <v>349</v>
      </c>
      <c r="D30" s="13" t="s">
        <v>729</v>
      </c>
      <c r="E30" s="6"/>
      <c r="F30" s="7">
        <f>IF(E30=0,,($I$9-E30)*$I$7*100/$I$9)</f>
        <v>0</v>
      </c>
      <c r="G30" s="13">
        <v>129</v>
      </c>
      <c r="H30" s="7">
        <f t="shared" si="0"/>
        <v>225.08474576271186</v>
      </c>
      <c r="I30" s="13"/>
      <c r="J30" s="23">
        <f>IF(I30=0,,($I$9-I30)*$I$7*100/$I$9)</f>
        <v>0</v>
      </c>
      <c r="K30" s="21"/>
      <c r="L30" s="23">
        <f>IF(K30=0,,($K$9-K30)*$K$7*100/$K$9)</f>
        <v>0</v>
      </c>
      <c r="M30" s="13"/>
      <c r="N30" s="23">
        <f t="shared" si="12"/>
        <v>0</v>
      </c>
      <c r="O30" s="21"/>
      <c r="P30" s="22">
        <f t="shared" si="4"/>
        <v>0</v>
      </c>
      <c r="Q30" s="21">
        <v>7</v>
      </c>
      <c r="R30" s="22">
        <f t="shared" si="5"/>
        <v>234.375</v>
      </c>
      <c r="S30" s="6"/>
      <c r="T30" s="22">
        <f t="shared" si="6"/>
        <v>0</v>
      </c>
      <c r="U30" s="6"/>
      <c r="V30" s="22">
        <f t="shared" si="7"/>
        <v>0</v>
      </c>
      <c r="W30" s="6"/>
      <c r="X30" s="7">
        <f t="shared" si="8"/>
        <v>0</v>
      </c>
      <c r="Y30" s="27">
        <f t="shared" si="9"/>
        <v>459.45974576271186</v>
      </c>
      <c r="Z30" s="21">
        <f t="shared" si="11"/>
        <v>20</v>
      </c>
    </row>
    <row r="31" spans="1:26" x14ac:dyDescent="0.3">
      <c r="A31" s="19">
        <v>21</v>
      </c>
      <c r="B31" s="13" t="s">
        <v>452</v>
      </c>
      <c r="C31" s="13" t="s">
        <v>442</v>
      </c>
      <c r="D31" s="13" t="s">
        <v>408</v>
      </c>
      <c r="E31" s="6"/>
      <c r="F31" s="7">
        <f>IF(E31=0,,($I$9-E31)*$I$7*100/$I$9)</f>
        <v>0</v>
      </c>
      <c r="G31" s="6"/>
      <c r="H31" s="7">
        <f t="shared" si="0"/>
        <v>0</v>
      </c>
      <c r="I31" s="13"/>
      <c r="J31" s="23">
        <f>IF(I31=0,,($I$9-I31)*$I$7*100/$I$9)</f>
        <v>0</v>
      </c>
      <c r="K31" s="21">
        <v>2</v>
      </c>
      <c r="L31" s="23">
        <f>IF(K31=0,,($K$9-K31)*$K$7*100/$K$9)</f>
        <v>198.68421052631578</v>
      </c>
      <c r="M31" s="13"/>
      <c r="N31" s="23">
        <f t="shared" si="12"/>
        <v>0</v>
      </c>
      <c r="O31" s="21"/>
      <c r="P31" s="22">
        <f t="shared" si="4"/>
        <v>0</v>
      </c>
      <c r="Q31" s="21">
        <v>5</v>
      </c>
      <c r="R31" s="22">
        <f t="shared" si="5"/>
        <v>253.125</v>
      </c>
      <c r="S31" s="6"/>
      <c r="T31" s="22">
        <f t="shared" si="6"/>
        <v>0</v>
      </c>
      <c r="U31" s="6"/>
      <c r="V31" s="22">
        <f t="shared" si="7"/>
        <v>0</v>
      </c>
      <c r="W31" s="6"/>
      <c r="X31" s="7">
        <f t="shared" si="8"/>
        <v>0</v>
      </c>
      <c r="Y31" s="27">
        <f t="shared" si="9"/>
        <v>451.80921052631578</v>
      </c>
      <c r="Z31" s="21">
        <f t="shared" si="11"/>
        <v>21</v>
      </c>
    </row>
    <row r="32" spans="1:26" x14ac:dyDescent="0.3">
      <c r="A32" s="19">
        <v>23</v>
      </c>
      <c r="B32" s="13" t="s">
        <v>842</v>
      </c>
      <c r="C32" s="13" t="s">
        <v>841</v>
      </c>
      <c r="D32" s="13" t="s">
        <v>278</v>
      </c>
      <c r="E32" s="6"/>
      <c r="F32" s="7"/>
      <c r="G32" s="13"/>
      <c r="H32" s="7">
        <f t="shared" si="0"/>
        <v>0</v>
      </c>
      <c r="I32" s="13"/>
      <c r="J32" s="23"/>
      <c r="K32" s="21"/>
      <c r="L32" s="23"/>
      <c r="M32" s="13"/>
      <c r="N32" s="23"/>
      <c r="O32" s="21"/>
      <c r="P32" s="22">
        <f t="shared" si="4"/>
        <v>0</v>
      </c>
      <c r="Q32" s="21">
        <v>3</v>
      </c>
      <c r="R32" s="22">
        <f t="shared" si="5"/>
        <v>271.875</v>
      </c>
      <c r="S32" s="6"/>
      <c r="T32" s="22"/>
      <c r="U32" s="6">
        <v>60</v>
      </c>
      <c r="V32" s="22">
        <f t="shared" si="7"/>
        <v>164.66165413533835</v>
      </c>
      <c r="W32" s="6"/>
      <c r="X32" s="7">
        <f t="shared" si="8"/>
        <v>0</v>
      </c>
      <c r="Y32" s="27">
        <f t="shared" si="9"/>
        <v>436.53665413533838</v>
      </c>
      <c r="Z32" s="21">
        <f t="shared" si="11"/>
        <v>22</v>
      </c>
    </row>
    <row r="33" spans="1:26" x14ac:dyDescent="0.3">
      <c r="A33" s="19">
        <v>24</v>
      </c>
      <c r="B33" s="13" t="s">
        <v>468</v>
      </c>
      <c r="C33" s="13" t="s">
        <v>467</v>
      </c>
      <c r="D33" s="13" t="s">
        <v>278</v>
      </c>
      <c r="E33" s="6"/>
      <c r="F33" s="7"/>
      <c r="G33" s="6"/>
      <c r="H33" s="7">
        <f t="shared" si="0"/>
        <v>0</v>
      </c>
      <c r="I33" s="21"/>
      <c r="J33" s="23"/>
      <c r="K33" s="21">
        <v>5</v>
      </c>
      <c r="L33" s="23">
        <f>IF(K33=0,,($K$9-K33)*$K$7*100/$K$9)</f>
        <v>196.71052631578948</v>
      </c>
      <c r="M33" s="13"/>
      <c r="N33" s="23">
        <f t="shared" ref="N33:N38" si="13">IF(M33=0,,($M$9-M33)*$M$7*100/$M$9)</f>
        <v>0</v>
      </c>
      <c r="O33" s="21"/>
      <c r="P33" s="22">
        <f t="shared" si="4"/>
        <v>0</v>
      </c>
      <c r="Q33" s="21">
        <v>7</v>
      </c>
      <c r="R33" s="22">
        <f t="shared" si="5"/>
        <v>234.375</v>
      </c>
      <c r="S33" s="6"/>
      <c r="T33" s="22">
        <f t="shared" ref="T33:T38" si="14">IF(S33=0,,($S$9-S33)*$S$7*100/$S$9)</f>
        <v>0</v>
      </c>
      <c r="U33" s="6"/>
      <c r="V33" s="22">
        <f t="shared" si="7"/>
        <v>0</v>
      </c>
      <c r="W33" s="6"/>
      <c r="X33" s="7">
        <f t="shared" si="8"/>
        <v>0</v>
      </c>
      <c r="Y33" s="27">
        <f t="shared" si="9"/>
        <v>431.08552631578948</v>
      </c>
      <c r="Z33" s="21">
        <f t="shared" si="11"/>
        <v>23</v>
      </c>
    </row>
    <row r="34" spans="1:26" x14ac:dyDescent="0.3">
      <c r="A34" s="19">
        <v>25</v>
      </c>
      <c r="B34" s="13" t="s">
        <v>462</v>
      </c>
      <c r="C34" s="13" t="s">
        <v>463</v>
      </c>
      <c r="D34" s="13" t="s">
        <v>408</v>
      </c>
      <c r="E34" s="6"/>
      <c r="F34" s="7"/>
      <c r="G34" s="6"/>
      <c r="H34" s="7">
        <f t="shared" si="0"/>
        <v>0</v>
      </c>
      <c r="I34" s="13"/>
      <c r="J34" s="23"/>
      <c r="K34" s="21">
        <v>1</v>
      </c>
      <c r="L34" s="23">
        <f>IF(K34=0,,($K$9-K34)*$K$7*100/$K$9)</f>
        <v>199.34210526315789</v>
      </c>
      <c r="M34" s="13"/>
      <c r="N34" s="23">
        <f t="shared" si="13"/>
        <v>0</v>
      </c>
      <c r="O34" s="21"/>
      <c r="P34" s="22">
        <f t="shared" si="4"/>
        <v>0</v>
      </c>
      <c r="Q34" s="21">
        <v>8</v>
      </c>
      <c r="R34" s="22">
        <f t="shared" si="5"/>
        <v>225</v>
      </c>
      <c r="S34" s="6"/>
      <c r="T34" s="22">
        <f t="shared" si="14"/>
        <v>0</v>
      </c>
      <c r="U34" s="6"/>
      <c r="V34" s="22">
        <f t="shared" si="7"/>
        <v>0</v>
      </c>
      <c r="W34" s="6"/>
      <c r="X34" s="7">
        <f t="shared" si="8"/>
        <v>0</v>
      </c>
      <c r="Y34" s="27">
        <f t="shared" si="9"/>
        <v>424.34210526315792</v>
      </c>
      <c r="Z34" s="21">
        <f t="shared" si="11"/>
        <v>24</v>
      </c>
    </row>
    <row r="35" spans="1:26" x14ac:dyDescent="0.3">
      <c r="A35" s="19">
        <v>26</v>
      </c>
      <c r="B35" s="13" t="s">
        <v>460</v>
      </c>
      <c r="C35" s="13" t="s">
        <v>457</v>
      </c>
      <c r="D35" s="13" t="s">
        <v>408</v>
      </c>
      <c r="E35" s="6"/>
      <c r="F35" s="7">
        <f>IF(E35=0,,($I$9-E35)*$I$7*100/$I$9)</f>
        <v>0</v>
      </c>
      <c r="G35" s="6"/>
      <c r="H35" s="7">
        <f t="shared" si="0"/>
        <v>0</v>
      </c>
      <c r="I35" s="21"/>
      <c r="J35" s="23">
        <f>IF(I35=0,,($I$9-I35)*$I$7*100/$I$9)</f>
        <v>0</v>
      </c>
      <c r="K35" s="21">
        <v>6</v>
      </c>
      <c r="L35" s="23">
        <f>IF(K35=0,,($K$9-K35)*$K$7*100/$K$9)</f>
        <v>196.05263157894737</v>
      </c>
      <c r="M35" s="13"/>
      <c r="N35" s="23">
        <f t="shared" si="13"/>
        <v>0</v>
      </c>
      <c r="O35" s="21"/>
      <c r="P35" s="22">
        <f t="shared" si="4"/>
        <v>0</v>
      </c>
      <c r="Q35" s="21">
        <v>8</v>
      </c>
      <c r="R35" s="22">
        <f t="shared" si="5"/>
        <v>225</v>
      </c>
      <c r="S35" s="6"/>
      <c r="T35" s="22">
        <f t="shared" si="14"/>
        <v>0</v>
      </c>
      <c r="U35" s="6"/>
      <c r="V35" s="22">
        <f t="shared" si="7"/>
        <v>0</v>
      </c>
      <c r="W35" s="6"/>
      <c r="X35" s="7">
        <f t="shared" si="8"/>
        <v>0</v>
      </c>
      <c r="Y35" s="27">
        <f t="shared" si="9"/>
        <v>421.0526315789474</v>
      </c>
      <c r="Z35" s="21">
        <f t="shared" si="11"/>
        <v>25</v>
      </c>
    </row>
    <row r="36" spans="1:26" x14ac:dyDescent="0.3">
      <c r="A36" s="19">
        <v>27</v>
      </c>
      <c r="B36" s="13" t="s">
        <v>470</v>
      </c>
      <c r="C36" s="13" t="s">
        <v>465</v>
      </c>
      <c r="D36" s="13" t="s">
        <v>408</v>
      </c>
      <c r="E36" s="6"/>
      <c r="F36" s="7"/>
      <c r="G36" s="6"/>
      <c r="H36" s="7">
        <f t="shared" si="0"/>
        <v>0</v>
      </c>
      <c r="I36" s="13"/>
      <c r="J36" s="23"/>
      <c r="K36" s="21">
        <v>3</v>
      </c>
      <c r="L36" s="23">
        <f>IF(K36=0,,($K$9-K36)*$K$7*100/$K$9)</f>
        <v>198.02631578947367</v>
      </c>
      <c r="M36" s="13"/>
      <c r="N36" s="23">
        <f t="shared" si="13"/>
        <v>0</v>
      </c>
      <c r="O36" s="21"/>
      <c r="P36" s="22">
        <f t="shared" si="4"/>
        <v>0</v>
      </c>
      <c r="Q36" s="21">
        <v>10</v>
      </c>
      <c r="R36" s="22">
        <f t="shared" si="5"/>
        <v>206.25</v>
      </c>
      <c r="S36" s="6"/>
      <c r="T36" s="22">
        <f t="shared" si="14"/>
        <v>0</v>
      </c>
      <c r="U36" s="6"/>
      <c r="V36" s="22">
        <f t="shared" si="7"/>
        <v>0</v>
      </c>
      <c r="W36" s="6"/>
      <c r="X36" s="7">
        <f t="shared" si="8"/>
        <v>0</v>
      </c>
      <c r="Y36" s="27">
        <f t="shared" si="9"/>
        <v>404.27631578947364</v>
      </c>
      <c r="Z36" s="21">
        <f t="shared" si="11"/>
        <v>26</v>
      </c>
    </row>
    <row r="37" spans="1:26" x14ac:dyDescent="0.3">
      <c r="A37" s="19">
        <v>28</v>
      </c>
      <c r="B37" s="13" t="s">
        <v>542</v>
      </c>
      <c r="C37" s="13" t="s">
        <v>539</v>
      </c>
      <c r="D37" s="13" t="s">
        <v>540</v>
      </c>
      <c r="E37" s="6"/>
      <c r="F37" s="7"/>
      <c r="G37" s="6"/>
      <c r="H37" s="7">
        <f t="shared" si="0"/>
        <v>0</v>
      </c>
      <c r="I37" s="21"/>
      <c r="J37" s="23"/>
      <c r="K37" s="21"/>
      <c r="L37" s="23"/>
      <c r="M37" s="13">
        <v>11</v>
      </c>
      <c r="N37" s="23">
        <f t="shared" si="13"/>
        <v>385.5263157894737</v>
      </c>
      <c r="O37" s="21"/>
      <c r="P37" s="22">
        <f t="shared" si="4"/>
        <v>0</v>
      </c>
      <c r="Q37" s="21"/>
      <c r="R37" s="22">
        <f t="shared" si="5"/>
        <v>0</v>
      </c>
      <c r="S37" s="6"/>
      <c r="T37" s="22">
        <f t="shared" si="14"/>
        <v>0</v>
      </c>
      <c r="U37" s="6"/>
      <c r="V37" s="22">
        <f t="shared" si="7"/>
        <v>0</v>
      </c>
      <c r="W37" s="6"/>
      <c r="X37" s="7">
        <f t="shared" si="8"/>
        <v>0</v>
      </c>
      <c r="Y37" s="27">
        <f t="shared" si="9"/>
        <v>385.5263157894737</v>
      </c>
      <c r="Z37" s="21">
        <f t="shared" si="11"/>
        <v>27</v>
      </c>
    </row>
    <row r="38" spans="1:26" x14ac:dyDescent="0.3">
      <c r="A38" s="19">
        <v>29</v>
      </c>
      <c r="B38" s="13" t="s">
        <v>449</v>
      </c>
      <c r="C38" s="13" t="s">
        <v>450</v>
      </c>
      <c r="D38" s="13" t="s">
        <v>408</v>
      </c>
      <c r="E38" s="6"/>
      <c r="F38" s="7">
        <f>IF(E38=0,,($I$9-E38)*$I$7*100/$I$9)</f>
        <v>0</v>
      </c>
      <c r="G38" s="13"/>
      <c r="H38" s="7">
        <f t="shared" si="0"/>
        <v>0</v>
      </c>
      <c r="I38" s="13">
        <v>11</v>
      </c>
      <c r="J38" s="23">
        <f>IF(I38=0,,($I$9-I38)*$I$7*100/$I$9)</f>
        <v>129.03225806451613</v>
      </c>
      <c r="K38" s="13">
        <v>3</v>
      </c>
      <c r="L38" s="23">
        <f>IF(K38=0,,($K$9-K38)*$K$7*100/$K$9)</f>
        <v>198.02631578947367</v>
      </c>
      <c r="M38" s="13"/>
      <c r="N38" s="23">
        <f t="shared" si="13"/>
        <v>0</v>
      </c>
      <c r="O38" s="21"/>
      <c r="P38" s="22">
        <f t="shared" si="4"/>
        <v>0</v>
      </c>
      <c r="Q38" s="21"/>
      <c r="R38" s="22">
        <f t="shared" si="5"/>
        <v>0</v>
      </c>
      <c r="S38" s="6"/>
      <c r="T38" s="22">
        <f t="shared" si="14"/>
        <v>0</v>
      </c>
      <c r="U38" s="6"/>
      <c r="V38" s="22">
        <f t="shared" si="7"/>
        <v>0</v>
      </c>
      <c r="W38" s="6"/>
      <c r="X38" s="7">
        <f t="shared" si="8"/>
        <v>0</v>
      </c>
      <c r="Y38" s="27">
        <f t="shared" si="9"/>
        <v>327.0585738539898</v>
      </c>
      <c r="Z38" s="21">
        <f t="shared" si="11"/>
        <v>28</v>
      </c>
    </row>
    <row r="39" spans="1:26" x14ac:dyDescent="0.3">
      <c r="A39" s="19">
        <v>30</v>
      </c>
      <c r="B39" s="13" t="s">
        <v>845</v>
      </c>
      <c r="C39" s="13" t="s">
        <v>593</v>
      </c>
      <c r="D39" s="13" t="s">
        <v>278</v>
      </c>
      <c r="E39" s="6"/>
      <c r="F39" s="7"/>
      <c r="G39" s="13"/>
      <c r="H39" s="7">
        <f t="shared" si="0"/>
        <v>0</v>
      </c>
      <c r="I39" s="13"/>
      <c r="J39" s="23"/>
      <c r="K39" s="21"/>
      <c r="L39" s="23"/>
      <c r="M39" s="13"/>
      <c r="N39" s="23"/>
      <c r="O39" s="21"/>
      <c r="P39" s="22">
        <f t="shared" si="4"/>
        <v>0</v>
      </c>
      <c r="Q39" s="21">
        <v>2</v>
      </c>
      <c r="R39" s="22">
        <f t="shared" si="5"/>
        <v>281.25</v>
      </c>
      <c r="S39" s="6"/>
      <c r="T39" s="22"/>
      <c r="U39" s="6"/>
      <c r="V39" s="22">
        <f t="shared" si="7"/>
        <v>0</v>
      </c>
      <c r="W39" s="6"/>
      <c r="X39" s="7">
        <f t="shared" si="8"/>
        <v>0</v>
      </c>
      <c r="Y39" s="27">
        <f t="shared" si="9"/>
        <v>281.25</v>
      </c>
      <c r="Z39" s="21">
        <f t="shared" si="11"/>
        <v>29</v>
      </c>
    </row>
    <row r="40" spans="1:26" x14ac:dyDescent="0.3">
      <c r="A40" s="19">
        <v>31</v>
      </c>
      <c r="B40" s="13" t="s">
        <v>844</v>
      </c>
      <c r="C40" s="13" t="s">
        <v>288</v>
      </c>
      <c r="D40" s="13" t="s">
        <v>840</v>
      </c>
      <c r="E40" s="6"/>
      <c r="F40" s="7"/>
      <c r="G40" s="13"/>
      <c r="H40" s="7">
        <f t="shared" si="0"/>
        <v>0</v>
      </c>
      <c r="I40" s="13"/>
      <c r="J40" s="23"/>
      <c r="K40" s="21"/>
      <c r="L40" s="23"/>
      <c r="M40" s="13"/>
      <c r="N40" s="23"/>
      <c r="O40" s="21"/>
      <c r="P40" s="22">
        <f t="shared" si="4"/>
        <v>0</v>
      </c>
      <c r="Q40" s="21">
        <v>5</v>
      </c>
      <c r="R40" s="22">
        <f t="shared" si="5"/>
        <v>253.125</v>
      </c>
      <c r="S40" s="6"/>
      <c r="T40" s="22"/>
      <c r="U40" s="6"/>
      <c r="V40" s="22">
        <f t="shared" si="7"/>
        <v>0</v>
      </c>
      <c r="W40" s="6"/>
      <c r="X40" s="7">
        <f t="shared" si="8"/>
        <v>0</v>
      </c>
      <c r="Y40" s="27">
        <f t="shared" si="9"/>
        <v>253.125</v>
      </c>
      <c r="Z40" s="21">
        <f t="shared" si="11"/>
        <v>30</v>
      </c>
    </row>
    <row r="41" spans="1:26" x14ac:dyDescent="0.3">
      <c r="A41" s="19">
        <v>32</v>
      </c>
      <c r="B41" s="13" t="s">
        <v>451</v>
      </c>
      <c r="C41" s="13" t="s">
        <v>262</v>
      </c>
      <c r="D41" s="13" t="s">
        <v>408</v>
      </c>
      <c r="E41" s="6"/>
      <c r="F41" s="7">
        <f>IF(E41=0,,($I$9-E41)*$I$7*100/$I$9)</f>
        <v>0</v>
      </c>
      <c r="G41" s="13"/>
      <c r="H41" s="7">
        <f t="shared" si="0"/>
        <v>0</v>
      </c>
      <c r="I41" s="21">
        <v>17</v>
      </c>
      <c r="J41" s="23">
        <f>IF(I41=0,,($I$9-I41)*$I$7*100/$I$9)</f>
        <v>90.322580645161295</v>
      </c>
      <c r="K41" s="21"/>
      <c r="L41" s="23">
        <f>IF(K41=0,,($K$9-K41)*$K$7*100/$K$9)</f>
        <v>0</v>
      </c>
      <c r="M41" s="13"/>
      <c r="N41" s="23">
        <f>IF(M41=0,,($M$9-M41)*$M$7*100/$M$9)</f>
        <v>0</v>
      </c>
      <c r="O41" s="21"/>
      <c r="P41" s="22">
        <f t="shared" si="4"/>
        <v>0</v>
      </c>
      <c r="Q41" s="21">
        <v>15</v>
      </c>
      <c r="R41" s="22">
        <f t="shared" si="5"/>
        <v>159.375</v>
      </c>
      <c r="S41" s="6"/>
      <c r="T41" s="22">
        <f>IF(S41=0,,($S$9-S41)*$S$7*100/$S$9)</f>
        <v>0</v>
      </c>
      <c r="U41" s="6"/>
      <c r="V41" s="22">
        <f t="shared" si="7"/>
        <v>0</v>
      </c>
      <c r="W41" s="6"/>
      <c r="X41" s="7">
        <f t="shared" si="8"/>
        <v>0</v>
      </c>
      <c r="Y41" s="27">
        <f t="shared" si="9"/>
        <v>249.69758064516128</v>
      </c>
      <c r="Z41" s="21">
        <f t="shared" si="11"/>
        <v>31</v>
      </c>
    </row>
    <row r="42" spans="1:26" x14ac:dyDescent="0.3">
      <c r="A42" s="19">
        <v>33</v>
      </c>
      <c r="B42" s="13" t="s">
        <v>851</v>
      </c>
      <c r="C42" s="13" t="s">
        <v>815</v>
      </c>
      <c r="D42" s="13" t="s">
        <v>849</v>
      </c>
      <c r="E42" s="6"/>
      <c r="F42" s="7"/>
      <c r="G42" s="13"/>
      <c r="H42" s="7">
        <f t="shared" si="0"/>
        <v>0</v>
      </c>
      <c r="I42" s="13"/>
      <c r="J42" s="23"/>
      <c r="K42" s="21"/>
      <c r="L42" s="23"/>
      <c r="M42" s="13"/>
      <c r="N42" s="23"/>
      <c r="O42" s="21"/>
      <c r="P42" s="22">
        <f t="shared" si="4"/>
        <v>0</v>
      </c>
      <c r="Q42" s="21">
        <v>7</v>
      </c>
      <c r="R42" s="22">
        <f t="shared" si="5"/>
        <v>234.375</v>
      </c>
      <c r="S42" s="6"/>
      <c r="T42" s="22"/>
      <c r="U42" s="6"/>
      <c r="V42" s="22">
        <f t="shared" si="7"/>
        <v>0</v>
      </c>
      <c r="W42" s="6"/>
      <c r="X42" s="7">
        <f t="shared" si="8"/>
        <v>0</v>
      </c>
      <c r="Y42" s="27">
        <f t="shared" si="9"/>
        <v>234.375</v>
      </c>
      <c r="Z42" s="21">
        <f t="shared" si="11"/>
        <v>32</v>
      </c>
    </row>
    <row r="43" spans="1:26" x14ac:dyDescent="0.3">
      <c r="A43" s="19">
        <v>34</v>
      </c>
      <c r="B43" s="13" t="s">
        <v>850</v>
      </c>
      <c r="C43" s="13" t="s">
        <v>825</v>
      </c>
      <c r="D43" s="13" t="s">
        <v>849</v>
      </c>
      <c r="E43" s="6"/>
      <c r="F43" s="7"/>
      <c r="G43" s="13"/>
      <c r="H43" s="7">
        <f t="shared" si="0"/>
        <v>0</v>
      </c>
      <c r="I43" s="13"/>
      <c r="J43" s="23"/>
      <c r="K43" s="21"/>
      <c r="L43" s="23"/>
      <c r="M43" s="13"/>
      <c r="N43" s="23"/>
      <c r="O43" s="21"/>
      <c r="P43" s="22">
        <f t="shared" si="4"/>
        <v>0</v>
      </c>
      <c r="Q43" s="21">
        <v>9</v>
      </c>
      <c r="R43" s="22">
        <f t="shared" si="5"/>
        <v>215.625</v>
      </c>
      <c r="S43" s="6"/>
      <c r="T43" s="22"/>
      <c r="U43" s="6"/>
      <c r="V43" s="22">
        <f t="shared" si="7"/>
        <v>0</v>
      </c>
      <c r="W43" s="6"/>
      <c r="X43" s="7">
        <f t="shared" si="8"/>
        <v>0</v>
      </c>
      <c r="Y43" s="27">
        <f t="shared" si="9"/>
        <v>215.625</v>
      </c>
      <c r="Z43" s="21">
        <f t="shared" si="11"/>
        <v>33</v>
      </c>
    </row>
    <row r="44" spans="1:26" x14ac:dyDescent="0.3">
      <c r="A44" s="19">
        <v>35</v>
      </c>
      <c r="B44" s="13" t="s">
        <v>471</v>
      </c>
      <c r="C44" s="13" t="s">
        <v>464</v>
      </c>
      <c r="D44" s="13" t="s">
        <v>408</v>
      </c>
      <c r="E44" s="6"/>
      <c r="F44" s="7"/>
      <c r="G44" s="6"/>
      <c r="H44" s="7">
        <f t="shared" si="0"/>
        <v>0</v>
      </c>
      <c r="I44" s="13"/>
      <c r="J44" s="23"/>
      <c r="K44" s="21">
        <v>2</v>
      </c>
      <c r="L44" s="23">
        <f>IF(K44=0,,($K$9-K44)*$K$7*100/$K$9)</f>
        <v>198.68421052631578</v>
      </c>
      <c r="M44" s="13"/>
      <c r="N44" s="23">
        <f>IF(M44=0,,($M$9-M44)*$M$7*100/$M$9)</f>
        <v>0</v>
      </c>
      <c r="O44" s="21"/>
      <c r="P44" s="22">
        <f t="shared" si="4"/>
        <v>0</v>
      </c>
      <c r="Q44" s="21"/>
      <c r="R44" s="22">
        <f t="shared" si="5"/>
        <v>0</v>
      </c>
      <c r="S44" s="6"/>
      <c r="T44" s="22">
        <f>IF(S44=0,,($S$9-S44)*$S$7*100/$S$9)</f>
        <v>0</v>
      </c>
      <c r="U44" s="6"/>
      <c r="V44" s="22">
        <f t="shared" si="7"/>
        <v>0</v>
      </c>
      <c r="W44" s="6"/>
      <c r="X44" s="7">
        <f t="shared" si="8"/>
        <v>0</v>
      </c>
      <c r="Y44" s="27">
        <f t="shared" si="9"/>
        <v>198.68421052631578</v>
      </c>
      <c r="Z44" s="21">
        <f t="shared" si="11"/>
        <v>34</v>
      </c>
    </row>
    <row r="45" spans="1:26" x14ac:dyDescent="0.3">
      <c r="A45" s="19">
        <v>36</v>
      </c>
      <c r="B45" s="13" t="s">
        <v>469</v>
      </c>
      <c r="C45" s="13" t="s">
        <v>466</v>
      </c>
      <c r="D45" s="13" t="s">
        <v>459</v>
      </c>
      <c r="E45" s="6"/>
      <c r="F45" s="7"/>
      <c r="G45" s="6"/>
      <c r="H45" s="7">
        <f t="shared" si="0"/>
        <v>0</v>
      </c>
      <c r="I45" s="13"/>
      <c r="J45" s="23"/>
      <c r="K45" s="21">
        <v>3</v>
      </c>
      <c r="L45" s="23">
        <f>IF(K45=0,,($K$9-K45)*$K$7*100/$K$9)</f>
        <v>198.02631578947367</v>
      </c>
      <c r="M45" s="13"/>
      <c r="N45" s="23">
        <f>IF(M45=0,,($M$9-M45)*$M$7*100/$M$9)</f>
        <v>0</v>
      </c>
      <c r="O45" s="21"/>
      <c r="P45" s="22">
        <f t="shared" si="4"/>
        <v>0</v>
      </c>
      <c r="Q45" s="21"/>
      <c r="R45" s="22">
        <f t="shared" si="5"/>
        <v>0</v>
      </c>
      <c r="S45" s="6"/>
      <c r="T45" s="22">
        <f>IF(S45=0,,($S$9-S45)*$S$7*100/$S$9)</f>
        <v>0</v>
      </c>
      <c r="U45" s="6"/>
      <c r="V45" s="22">
        <f t="shared" si="7"/>
        <v>0</v>
      </c>
      <c r="W45" s="6"/>
      <c r="X45" s="7">
        <f t="shared" si="8"/>
        <v>0</v>
      </c>
      <c r="Y45" s="27">
        <f t="shared" si="9"/>
        <v>198.02631578947367</v>
      </c>
      <c r="Z45" s="21">
        <f t="shared" si="11"/>
        <v>35</v>
      </c>
    </row>
    <row r="46" spans="1:26" x14ac:dyDescent="0.3">
      <c r="A46" s="19">
        <v>37</v>
      </c>
      <c r="B46" s="13" t="s">
        <v>455</v>
      </c>
      <c r="C46" s="13" t="s">
        <v>456</v>
      </c>
      <c r="D46" s="13" t="s">
        <v>278</v>
      </c>
      <c r="E46" s="6"/>
      <c r="F46" s="7">
        <f>IF(E46=0,,($I$9-E46)*$I$7*100/$I$9)</f>
        <v>0</v>
      </c>
      <c r="G46" s="6"/>
      <c r="H46" s="7">
        <f t="shared" si="0"/>
        <v>0</v>
      </c>
      <c r="I46" s="21"/>
      <c r="J46" s="23">
        <f>IF(I46=0,,($I$9-I46)*$I$7*100/$I$9)</f>
        <v>0</v>
      </c>
      <c r="K46" s="21">
        <v>5</v>
      </c>
      <c r="L46" s="23">
        <f>IF(K46=0,,($K$9-K46)*$K$7*100/$K$9)</f>
        <v>196.71052631578948</v>
      </c>
      <c r="M46" s="13"/>
      <c r="N46" s="23">
        <f>IF(M46=0,,($M$9-M46)*$M$7*100/$M$9)</f>
        <v>0</v>
      </c>
      <c r="O46" s="21"/>
      <c r="P46" s="22">
        <f t="shared" si="4"/>
        <v>0</v>
      </c>
      <c r="Q46" s="21"/>
      <c r="R46" s="22">
        <f t="shared" si="5"/>
        <v>0</v>
      </c>
      <c r="S46" s="6"/>
      <c r="T46" s="22">
        <f>IF(S46=0,,($S$9-S46)*$S$7*100/$S$9)</f>
        <v>0</v>
      </c>
      <c r="U46" s="6"/>
      <c r="V46" s="22">
        <f t="shared" si="7"/>
        <v>0</v>
      </c>
      <c r="W46" s="6"/>
      <c r="X46" s="7">
        <f t="shared" si="8"/>
        <v>0</v>
      </c>
      <c r="Y46" s="27">
        <f t="shared" si="9"/>
        <v>196.71052631578948</v>
      </c>
      <c r="Z46" s="21">
        <f t="shared" si="11"/>
        <v>36</v>
      </c>
    </row>
    <row r="47" spans="1:26" x14ac:dyDescent="0.3">
      <c r="A47" s="19">
        <v>38</v>
      </c>
      <c r="B47" s="13" t="s">
        <v>461</v>
      </c>
      <c r="C47" s="13" t="s">
        <v>458</v>
      </c>
      <c r="D47" s="13" t="s">
        <v>459</v>
      </c>
      <c r="E47" s="6"/>
      <c r="F47" s="7">
        <f>IF(E47=0,,($I$9-E47)*$I$7*100/$I$9)</f>
        <v>0</v>
      </c>
      <c r="G47" s="6"/>
      <c r="H47" s="7">
        <f t="shared" si="0"/>
        <v>0</v>
      </c>
      <c r="I47" s="21"/>
      <c r="J47" s="23">
        <f>IF(I47=0,,($I$9-I47)*$I$7*100/$I$9)</f>
        <v>0</v>
      </c>
      <c r="K47" s="21">
        <v>7</v>
      </c>
      <c r="L47" s="23">
        <f>IF(K47=0,,($K$9-K47)*$K$7*100/$K$9)</f>
        <v>195.39473684210526</v>
      </c>
      <c r="M47" s="13"/>
      <c r="N47" s="23">
        <f>IF(M47=0,,($M$9-M47)*$M$7*100/$M$9)</f>
        <v>0</v>
      </c>
      <c r="O47" s="21"/>
      <c r="P47" s="22">
        <f t="shared" si="4"/>
        <v>0</v>
      </c>
      <c r="Q47" s="21"/>
      <c r="R47" s="22">
        <f t="shared" si="5"/>
        <v>0</v>
      </c>
      <c r="S47" s="6"/>
      <c r="T47" s="22">
        <f>IF(S47=0,,($S$9-S47)*$S$7*100/$S$9)</f>
        <v>0</v>
      </c>
      <c r="U47" s="6"/>
      <c r="V47" s="22">
        <f t="shared" si="7"/>
        <v>0</v>
      </c>
      <c r="W47" s="6"/>
      <c r="X47" s="7">
        <f t="shared" si="8"/>
        <v>0</v>
      </c>
      <c r="Y47" s="27">
        <f t="shared" si="9"/>
        <v>195.39473684210526</v>
      </c>
      <c r="Z47" s="21">
        <f t="shared" si="11"/>
        <v>37</v>
      </c>
    </row>
    <row r="48" spans="1:26" x14ac:dyDescent="0.3">
      <c r="A48" s="19">
        <v>39</v>
      </c>
      <c r="B48" s="13" t="s">
        <v>848</v>
      </c>
      <c r="C48" s="13" t="s">
        <v>846</v>
      </c>
      <c r="D48" s="13" t="s">
        <v>847</v>
      </c>
      <c r="E48" s="6"/>
      <c r="F48" s="7"/>
      <c r="G48" s="13"/>
      <c r="H48" s="22">
        <f>IF(G48=0,,($G$9-G48)*$G$7*H137/$G$9)</f>
        <v>0</v>
      </c>
      <c r="I48" s="13"/>
      <c r="J48" s="23"/>
      <c r="K48" s="21"/>
      <c r="L48" s="23"/>
      <c r="M48" s="13"/>
      <c r="N48" s="23"/>
      <c r="O48" s="21"/>
      <c r="P48" s="22">
        <f t="shared" si="4"/>
        <v>0</v>
      </c>
      <c r="Q48" s="21">
        <v>16</v>
      </c>
      <c r="R48" s="22">
        <f t="shared" si="5"/>
        <v>150</v>
      </c>
      <c r="S48" s="6"/>
      <c r="T48" s="22"/>
      <c r="U48" s="6"/>
      <c r="V48" s="22">
        <f t="shared" si="7"/>
        <v>0</v>
      </c>
      <c r="W48" s="6"/>
      <c r="X48" s="7">
        <f t="shared" si="8"/>
        <v>0</v>
      </c>
      <c r="Y48" s="27">
        <f t="shared" si="9"/>
        <v>150</v>
      </c>
      <c r="Z48" s="21">
        <f t="shared" si="11"/>
        <v>38</v>
      </c>
    </row>
    <row r="49" spans="1:11" x14ac:dyDescent="0.3">
      <c r="A49" s="45" t="s">
        <v>11</v>
      </c>
      <c r="B49" s="45"/>
      <c r="C49" s="46"/>
      <c r="E49">
        <f>COUNTA(E11:E48)</f>
        <v>3</v>
      </c>
      <c r="G49">
        <f>COUNTA(G11:G48)</f>
        <v>13</v>
      </c>
      <c r="I49">
        <f>COUNTA(I11:I48)</f>
        <v>5</v>
      </c>
      <c r="K49">
        <f>COUNTA(K11:K48)</f>
        <v>13</v>
      </c>
    </row>
  </sheetData>
  <sortState xmlns:xlrd2="http://schemas.microsoft.com/office/spreadsheetml/2017/richdata2" ref="B11:Y48">
    <sortCondition descending="1" ref="Y11:Y48"/>
  </sortState>
  <mergeCells count="42">
    <mergeCell ref="W6:X6"/>
    <mergeCell ref="W7:X7"/>
    <mergeCell ref="W8:X8"/>
    <mergeCell ref="W9:X9"/>
    <mergeCell ref="E7:F7"/>
    <mergeCell ref="G7:H7"/>
    <mergeCell ref="I7:J7"/>
    <mergeCell ref="K7:L7"/>
    <mergeCell ref="M6:N6"/>
    <mergeCell ref="O6:P6"/>
    <mergeCell ref="Q6:R6"/>
    <mergeCell ref="S6:T6"/>
    <mergeCell ref="M7:N7"/>
    <mergeCell ref="O7:P7"/>
    <mergeCell ref="Q7:R7"/>
    <mergeCell ref="S7:T7"/>
    <mergeCell ref="A1:K1"/>
    <mergeCell ref="E6:F6"/>
    <mergeCell ref="G6:H6"/>
    <mergeCell ref="I6:J6"/>
    <mergeCell ref="K6:L6"/>
    <mergeCell ref="A49:C49"/>
    <mergeCell ref="E8:F8"/>
    <mergeCell ref="G8:H8"/>
    <mergeCell ref="I8:J8"/>
    <mergeCell ref="K8:L8"/>
    <mergeCell ref="E9:F9"/>
    <mergeCell ref="G9:H9"/>
    <mergeCell ref="I9:J9"/>
    <mergeCell ref="K9:L9"/>
    <mergeCell ref="U6:V6"/>
    <mergeCell ref="U7:V7"/>
    <mergeCell ref="U8:V8"/>
    <mergeCell ref="U9:V9"/>
    <mergeCell ref="M8:N8"/>
    <mergeCell ref="O8:P8"/>
    <mergeCell ref="Q8:R8"/>
    <mergeCell ref="S8:T8"/>
    <mergeCell ref="M9:N9"/>
    <mergeCell ref="O9:P9"/>
    <mergeCell ref="Q9:R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35"/>
  <sheetViews>
    <sheetView zoomScale="94" zoomScaleNormal="94" workbookViewId="0">
      <pane xSplit="5" ySplit="10" topLeftCell="Q11" activePane="bottomRight" state="frozenSplit"/>
      <selection pane="topRight" activeCell="D26" sqref="D26"/>
      <selection pane="bottomLeft" activeCell="D26" sqref="D26"/>
      <selection pane="bottomRight" activeCell="Y5" sqref="Y5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5" max="5" width="14.77734375" bestFit="1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2" width="11.44140625" customWidth="1"/>
    <col min="13" max="13" width="12.66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77734375" bestFit="1" customWidth="1"/>
    <col min="23" max="23" width="19.6640625" bestFit="1" customWidth="1"/>
  </cols>
  <sheetData>
    <row r="1" spans="1:27" ht="31.2" x14ac:dyDescent="0.6">
      <c r="A1" s="47" t="s">
        <v>103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27" x14ac:dyDescent="0.3">
      <c r="E2" s="54" t="s">
        <v>17</v>
      </c>
      <c r="F2" s="54"/>
      <c r="G2" s="14">
        <f>COUNTA(B11:B33)</f>
        <v>18</v>
      </c>
    </row>
    <row r="3" spans="1:27" x14ac:dyDescent="0.3">
      <c r="E3" s="54" t="s">
        <v>19</v>
      </c>
      <c r="F3" s="54"/>
      <c r="G3" s="14">
        <f>COUNTA(E8:W8)</f>
        <v>10</v>
      </c>
    </row>
    <row r="4" spans="1:27" x14ac:dyDescent="0.3">
      <c r="A4" s="10"/>
      <c r="B4" s="11" t="s">
        <v>14</v>
      </c>
      <c r="C4" s="3"/>
      <c r="D4" s="3"/>
    </row>
    <row r="6" spans="1:27" x14ac:dyDescent="0.3">
      <c r="E6" s="1" t="s">
        <v>0</v>
      </c>
      <c r="F6" s="41" t="s">
        <v>15</v>
      </c>
      <c r="G6" s="41"/>
      <c r="H6" s="41" t="s">
        <v>275</v>
      </c>
      <c r="I6" s="41"/>
      <c r="J6" s="41" t="s">
        <v>439</v>
      </c>
      <c r="K6" s="41"/>
      <c r="L6" s="41" t="s">
        <v>477</v>
      </c>
      <c r="M6" s="41"/>
      <c r="N6" s="41" t="s">
        <v>479</v>
      </c>
      <c r="O6" s="41"/>
      <c r="P6" s="41" t="s">
        <v>104</v>
      </c>
      <c r="Q6" s="41"/>
      <c r="R6" s="42" t="s">
        <v>726</v>
      </c>
      <c r="S6" s="43"/>
      <c r="T6" s="41" t="s">
        <v>105</v>
      </c>
      <c r="U6" s="41"/>
      <c r="V6" s="41" t="s">
        <v>29</v>
      </c>
      <c r="W6" s="41"/>
    </row>
    <row r="7" spans="1:27" x14ac:dyDescent="0.3">
      <c r="E7" s="1" t="s">
        <v>10</v>
      </c>
      <c r="F7" s="42">
        <v>2</v>
      </c>
      <c r="G7" s="43"/>
      <c r="H7" s="42">
        <v>2</v>
      </c>
      <c r="I7" s="43"/>
      <c r="J7" s="42">
        <v>2</v>
      </c>
      <c r="K7" s="43"/>
      <c r="L7" s="42">
        <v>2</v>
      </c>
      <c r="M7" s="43"/>
      <c r="N7" s="42">
        <v>3</v>
      </c>
      <c r="O7" s="43"/>
      <c r="P7" s="42">
        <v>5</v>
      </c>
      <c r="Q7" s="43"/>
      <c r="R7" s="42">
        <v>3</v>
      </c>
      <c r="S7" s="43"/>
      <c r="T7" s="42">
        <v>5</v>
      </c>
      <c r="U7" s="43"/>
      <c r="V7" s="42">
        <v>6</v>
      </c>
      <c r="W7" s="43"/>
    </row>
    <row r="8" spans="1:27" x14ac:dyDescent="0.3">
      <c r="E8" s="1" t="s">
        <v>1</v>
      </c>
      <c r="F8" s="44">
        <v>45207</v>
      </c>
      <c r="G8" s="44"/>
      <c r="H8" s="44">
        <v>45213</v>
      </c>
      <c r="I8" s="44"/>
      <c r="J8" s="44">
        <v>45226</v>
      </c>
      <c r="K8" s="44"/>
      <c r="L8" s="44">
        <v>45249</v>
      </c>
      <c r="M8" s="44"/>
      <c r="N8" s="44">
        <v>45263</v>
      </c>
      <c r="O8" s="44"/>
      <c r="P8" s="44">
        <v>45326</v>
      </c>
      <c r="Q8" s="44"/>
      <c r="R8" s="58" t="s">
        <v>727</v>
      </c>
      <c r="S8" s="59"/>
      <c r="T8" s="44" t="s">
        <v>41</v>
      </c>
      <c r="U8" s="44"/>
      <c r="V8" s="44">
        <v>45458</v>
      </c>
      <c r="W8" s="44"/>
      <c r="Z8" s="14"/>
    </row>
    <row r="9" spans="1:27" x14ac:dyDescent="0.3">
      <c r="E9" s="1" t="s">
        <v>2</v>
      </c>
      <c r="F9" s="42">
        <v>6</v>
      </c>
      <c r="G9" s="43"/>
      <c r="H9" s="42">
        <v>10</v>
      </c>
      <c r="I9" s="43"/>
      <c r="J9" s="42">
        <v>18</v>
      </c>
      <c r="K9" s="43"/>
      <c r="L9" s="42">
        <v>21</v>
      </c>
      <c r="M9" s="43"/>
      <c r="N9" s="42">
        <v>12</v>
      </c>
      <c r="O9" s="43"/>
      <c r="P9" s="42">
        <v>33</v>
      </c>
      <c r="Q9" s="43"/>
      <c r="R9" s="42">
        <v>15</v>
      </c>
      <c r="S9" s="43"/>
      <c r="T9" s="42">
        <v>224</v>
      </c>
      <c r="U9" s="43"/>
      <c r="V9" s="42">
        <v>112</v>
      </c>
      <c r="W9" s="43"/>
    </row>
    <row r="10" spans="1:27" x14ac:dyDescent="0.3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20</v>
      </c>
      <c r="AA10" s="1" t="s">
        <v>22</v>
      </c>
    </row>
    <row r="11" spans="1:27" x14ac:dyDescent="0.3">
      <c r="A11" s="19">
        <f t="shared" ref="A11:A32" si="0">Y11</f>
        <v>1</v>
      </c>
      <c r="B11" s="13" t="s">
        <v>241</v>
      </c>
      <c r="C11" s="13" t="s">
        <v>242</v>
      </c>
      <c r="D11" s="13"/>
      <c r="E11" s="21" t="s">
        <v>243</v>
      </c>
      <c r="F11" s="6">
        <v>1</v>
      </c>
      <c r="G11" s="7">
        <f t="shared" ref="G11:G29" si="1">IF(F11=0,,($F$9-F11)*$F$7*100/$F$9)</f>
        <v>166.66666666666666</v>
      </c>
      <c r="H11" s="6"/>
      <c r="I11" s="22">
        <f t="shared" ref="I11:I27" si="2">IF(H11=0,,($H$9-H11)*$H$7*100/$H$9)</f>
        <v>0</v>
      </c>
      <c r="J11" s="21">
        <v>2</v>
      </c>
      <c r="K11" s="22">
        <f t="shared" ref="K11:K28" si="3">IF(J11=0,,($J$9-J11)*$J$7*100/$J$9)</f>
        <v>177.77777777777777</v>
      </c>
      <c r="L11" s="21">
        <v>1</v>
      </c>
      <c r="M11" s="22">
        <f t="shared" ref="M11:M28" si="4">IF(L11=0,,($L$9-L11)*$L$7*100/$L$9)</f>
        <v>190.47619047619048</v>
      </c>
      <c r="N11" s="34">
        <v>2</v>
      </c>
      <c r="O11" s="35">
        <f t="shared" ref="O11:O29" si="5">IF(N11=0,,($N$9-N11)*$N$7*100/$N$9)</f>
        <v>250</v>
      </c>
      <c r="P11" s="34">
        <v>6</v>
      </c>
      <c r="Q11" s="35">
        <f t="shared" ref="Q11:Q22" si="6">IF(P11=0,,($P$9-P11)*$P$7*100/$P$9)</f>
        <v>409.09090909090907</v>
      </c>
      <c r="R11" s="6">
        <v>1</v>
      </c>
      <c r="S11" s="7">
        <f t="shared" ref="S11:S26" si="7">IF(R11=0,,($R$9-R11)*$R$7*100/$R$9)</f>
        <v>280</v>
      </c>
      <c r="T11" s="33">
        <v>22</v>
      </c>
      <c r="U11" s="32">
        <f t="shared" ref="U11:U29" si="8">IF(T11=0,,($T$9-T11)*$T$7*100/$T$9)</f>
        <v>450.89285714285717</v>
      </c>
      <c r="V11" s="36">
        <v>20</v>
      </c>
      <c r="W11" s="7">
        <f t="shared" ref="W11:W29" si="9">IF(V11=0,,($V$9-V11)*$V$7*100/$V$9)</f>
        <v>492.85714285714283</v>
      </c>
      <c r="X11" s="8">
        <f t="shared" ref="X11:X29" si="10">SUM(G11+I11+K11+M11+O11+Q11+S11+U11+W11)</f>
        <v>2417.7615440115437</v>
      </c>
      <c r="Y11" s="6">
        <f t="shared" ref="Y11:Y32" si="11">ROW(B11)-10</f>
        <v>1</v>
      </c>
      <c r="Z11" s="6">
        <f t="shared" ref="Z11:Z32" si="12">COUNTA(F11,H11,L11,N11,R11,V11,T11)</f>
        <v>6</v>
      </c>
      <c r="AA11" s="16">
        <f t="shared" ref="Y11:AA33" si="13">Z11/$G$3</f>
        <v>0.6</v>
      </c>
    </row>
    <row r="12" spans="1:27" x14ac:dyDescent="0.3">
      <c r="A12" s="19">
        <f t="shared" si="0"/>
        <v>2</v>
      </c>
      <c r="B12" s="13" t="s">
        <v>244</v>
      </c>
      <c r="C12" s="13" t="s">
        <v>245</v>
      </c>
      <c r="D12" s="13"/>
      <c r="E12" s="21" t="s">
        <v>246</v>
      </c>
      <c r="F12" s="6">
        <v>2</v>
      </c>
      <c r="G12" s="7">
        <f t="shared" si="1"/>
        <v>133.33333333333334</v>
      </c>
      <c r="H12" s="6"/>
      <c r="I12" s="22">
        <f t="shared" si="2"/>
        <v>0</v>
      </c>
      <c r="J12" s="21"/>
      <c r="K12" s="22">
        <f t="shared" si="3"/>
        <v>0</v>
      </c>
      <c r="L12" s="21"/>
      <c r="M12" s="22">
        <f t="shared" si="4"/>
        <v>0</v>
      </c>
      <c r="N12" s="34">
        <v>1</v>
      </c>
      <c r="O12" s="35">
        <f t="shared" si="5"/>
        <v>275</v>
      </c>
      <c r="P12" s="34">
        <v>1</v>
      </c>
      <c r="Q12" s="35">
        <f t="shared" si="6"/>
        <v>484.84848484848487</v>
      </c>
      <c r="R12" s="6">
        <v>3</v>
      </c>
      <c r="S12" s="7">
        <f t="shared" si="7"/>
        <v>240</v>
      </c>
      <c r="T12" s="33">
        <v>1</v>
      </c>
      <c r="U12" s="32">
        <f t="shared" si="8"/>
        <v>497.76785714285717</v>
      </c>
      <c r="V12" s="36">
        <v>3</v>
      </c>
      <c r="W12" s="7">
        <f t="shared" si="9"/>
        <v>583.92857142857144</v>
      </c>
      <c r="X12" s="8">
        <f t="shared" si="10"/>
        <v>2214.8782467532469</v>
      </c>
      <c r="Y12" s="6">
        <f t="shared" si="11"/>
        <v>2</v>
      </c>
      <c r="Z12" s="6">
        <f t="shared" si="12"/>
        <v>5</v>
      </c>
      <c r="AA12" s="16">
        <f t="shared" si="13"/>
        <v>0.5</v>
      </c>
    </row>
    <row r="13" spans="1:27" x14ac:dyDescent="0.3">
      <c r="A13" s="19">
        <f t="shared" si="0"/>
        <v>3</v>
      </c>
      <c r="B13" s="13" t="s">
        <v>249</v>
      </c>
      <c r="C13" s="13" t="s">
        <v>250</v>
      </c>
      <c r="D13" s="13"/>
      <c r="E13" s="21" t="s">
        <v>246</v>
      </c>
      <c r="F13" s="6">
        <v>3</v>
      </c>
      <c r="G13" s="7">
        <f t="shared" si="1"/>
        <v>100</v>
      </c>
      <c r="H13" s="6">
        <v>5</v>
      </c>
      <c r="I13" s="22">
        <f t="shared" si="2"/>
        <v>100</v>
      </c>
      <c r="J13" s="21">
        <v>14</v>
      </c>
      <c r="K13" s="22">
        <f t="shared" si="3"/>
        <v>44.444444444444443</v>
      </c>
      <c r="L13" s="21">
        <v>6</v>
      </c>
      <c r="M13" s="22">
        <f t="shared" si="4"/>
        <v>142.85714285714286</v>
      </c>
      <c r="N13" s="34">
        <v>3</v>
      </c>
      <c r="O13" s="35">
        <f t="shared" si="5"/>
        <v>225</v>
      </c>
      <c r="P13" s="34">
        <v>3</v>
      </c>
      <c r="Q13" s="35">
        <f t="shared" si="6"/>
        <v>454.54545454545456</v>
      </c>
      <c r="R13" s="6">
        <v>2</v>
      </c>
      <c r="S13" s="7">
        <f t="shared" si="7"/>
        <v>260</v>
      </c>
      <c r="T13" s="33">
        <v>41</v>
      </c>
      <c r="U13" s="32">
        <f t="shared" si="8"/>
        <v>408.48214285714283</v>
      </c>
      <c r="V13" s="36">
        <v>90</v>
      </c>
      <c r="W13" s="7">
        <f t="shared" si="9"/>
        <v>117.85714285714286</v>
      </c>
      <c r="X13" s="8">
        <f t="shared" si="10"/>
        <v>1853.1863275613277</v>
      </c>
      <c r="Y13" s="6">
        <f t="shared" si="11"/>
        <v>3</v>
      </c>
      <c r="Z13" s="6">
        <f t="shared" si="12"/>
        <v>7</v>
      </c>
      <c r="AA13" s="16">
        <f t="shared" si="13"/>
        <v>0.7</v>
      </c>
    </row>
    <row r="14" spans="1:27" x14ac:dyDescent="0.3">
      <c r="A14" s="19">
        <f t="shared" si="0"/>
        <v>4</v>
      </c>
      <c r="B14" s="13" t="s">
        <v>247</v>
      </c>
      <c r="C14" s="13" t="s">
        <v>248</v>
      </c>
      <c r="D14" s="13"/>
      <c r="E14" s="21" t="s">
        <v>131</v>
      </c>
      <c r="F14" s="6">
        <v>3</v>
      </c>
      <c r="G14" s="7">
        <f t="shared" si="1"/>
        <v>100</v>
      </c>
      <c r="H14" s="6"/>
      <c r="I14" s="22">
        <f t="shared" si="2"/>
        <v>0</v>
      </c>
      <c r="J14" s="21">
        <v>3</v>
      </c>
      <c r="K14" s="22">
        <f t="shared" si="3"/>
        <v>166.66666666666666</v>
      </c>
      <c r="L14" s="21">
        <v>5</v>
      </c>
      <c r="M14" s="22">
        <f t="shared" si="4"/>
        <v>152.38095238095238</v>
      </c>
      <c r="N14" s="34">
        <v>3</v>
      </c>
      <c r="O14" s="35">
        <f t="shared" si="5"/>
        <v>225</v>
      </c>
      <c r="P14" s="34">
        <v>8</v>
      </c>
      <c r="Q14" s="35">
        <f t="shared" si="6"/>
        <v>378.78787878787881</v>
      </c>
      <c r="R14" s="6">
        <v>9</v>
      </c>
      <c r="S14" s="7">
        <f t="shared" si="7"/>
        <v>120</v>
      </c>
      <c r="T14" s="33">
        <v>132</v>
      </c>
      <c r="U14" s="32">
        <f t="shared" si="8"/>
        <v>205.35714285714286</v>
      </c>
      <c r="V14" s="36">
        <v>86</v>
      </c>
      <c r="W14" s="7">
        <f t="shared" si="9"/>
        <v>139.28571428571428</v>
      </c>
      <c r="X14" s="8">
        <f t="shared" si="10"/>
        <v>1487.4783549783549</v>
      </c>
      <c r="Y14" s="6">
        <f t="shared" si="11"/>
        <v>4</v>
      </c>
      <c r="Z14" s="6">
        <f t="shared" si="12"/>
        <v>6</v>
      </c>
      <c r="AA14" s="16">
        <f t="shared" si="13"/>
        <v>0.6</v>
      </c>
    </row>
    <row r="15" spans="1:27" x14ac:dyDescent="0.3">
      <c r="A15" s="19">
        <f t="shared" si="0"/>
        <v>5</v>
      </c>
      <c r="B15" s="13" t="s">
        <v>251</v>
      </c>
      <c r="C15" s="13" t="s">
        <v>252</v>
      </c>
      <c r="D15" s="13"/>
      <c r="E15" s="21" t="s">
        <v>253</v>
      </c>
      <c r="F15" s="6">
        <v>5</v>
      </c>
      <c r="G15" s="7">
        <f t="shared" si="1"/>
        <v>33.333333333333336</v>
      </c>
      <c r="H15" s="6"/>
      <c r="I15" s="22">
        <f t="shared" si="2"/>
        <v>0</v>
      </c>
      <c r="J15" s="21"/>
      <c r="K15" s="22">
        <f t="shared" si="3"/>
        <v>0</v>
      </c>
      <c r="L15" s="21">
        <v>11</v>
      </c>
      <c r="M15" s="22">
        <f t="shared" si="4"/>
        <v>95.238095238095241</v>
      </c>
      <c r="N15" s="34">
        <v>5</v>
      </c>
      <c r="O15" s="35">
        <f t="shared" si="5"/>
        <v>175</v>
      </c>
      <c r="P15" s="34">
        <v>25</v>
      </c>
      <c r="Q15" s="35">
        <f t="shared" si="6"/>
        <v>121.21212121212122</v>
      </c>
      <c r="R15" s="6">
        <v>5</v>
      </c>
      <c r="S15" s="7">
        <f t="shared" si="7"/>
        <v>200</v>
      </c>
      <c r="T15" s="33">
        <v>52</v>
      </c>
      <c r="U15" s="32">
        <f t="shared" si="8"/>
        <v>383.92857142857144</v>
      </c>
      <c r="V15" s="36">
        <v>45</v>
      </c>
      <c r="W15" s="7">
        <f t="shared" si="9"/>
        <v>358.92857142857144</v>
      </c>
      <c r="X15" s="8">
        <f t="shared" si="10"/>
        <v>1367.6406926406926</v>
      </c>
      <c r="Y15" s="6">
        <f t="shared" si="11"/>
        <v>5</v>
      </c>
      <c r="Z15" s="6">
        <f t="shared" si="12"/>
        <v>6</v>
      </c>
      <c r="AA15" s="16">
        <f t="shared" si="13"/>
        <v>0.6</v>
      </c>
    </row>
    <row r="16" spans="1:27" x14ac:dyDescent="0.3">
      <c r="A16" s="19">
        <f t="shared" si="0"/>
        <v>6</v>
      </c>
      <c r="B16" s="13" t="s">
        <v>522</v>
      </c>
      <c r="C16" s="13" t="s">
        <v>523</v>
      </c>
      <c r="D16" s="13"/>
      <c r="E16" s="21" t="s">
        <v>253</v>
      </c>
      <c r="F16" s="6"/>
      <c r="G16" s="7">
        <f t="shared" si="1"/>
        <v>0</v>
      </c>
      <c r="H16" s="6"/>
      <c r="I16" s="22">
        <f t="shared" si="2"/>
        <v>0</v>
      </c>
      <c r="J16" s="21"/>
      <c r="K16" s="22">
        <f t="shared" si="3"/>
        <v>0</v>
      </c>
      <c r="L16" s="21"/>
      <c r="M16" s="22">
        <f t="shared" si="4"/>
        <v>0</v>
      </c>
      <c r="N16" s="34">
        <v>7</v>
      </c>
      <c r="O16" s="35">
        <f t="shared" si="5"/>
        <v>125</v>
      </c>
      <c r="P16" s="34">
        <v>13</v>
      </c>
      <c r="Q16" s="35">
        <f t="shared" si="6"/>
        <v>303.030303030303</v>
      </c>
      <c r="R16" s="6">
        <v>8</v>
      </c>
      <c r="S16" s="7">
        <f t="shared" si="7"/>
        <v>140</v>
      </c>
      <c r="T16" s="31">
        <v>63</v>
      </c>
      <c r="U16" s="32">
        <f t="shared" si="8"/>
        <v>359.375</v>
      </c>
      <c r="V16" s="6">
        <v>63</v>
      </c>
      <c r="W16" s="7">
        <f t="shared" si="9"/>
        <v>262.5</v>
      </c>
      <c r="X16" s="8">
        <f t="shared" si="10"/>
        <v>1189.905303030303</v>
      </c>
      <c r="Y16" s="6">
        <f t="shared" si="11"/>
        <v>6</v>
      </c>
      <c r="Z16" s="6">
        <f t="shared" si="12"/>
        <v>4</v>
      </c>
      <c r="AA16" s="16">
        <f t="shared" si="13"/>
        <v>0.4</v>
      </c>
    </row>
    <row r="17" spans="1:27" x14ac:dyDescent="0.3">
      <c r="A17" s="19">
        <f t="shared" si="0"/>
        <v>7</v>
      </c>
      <c r="B17" s="13" t="s">
        <v>526</v>
      </c>
      <c r="C17" s="13" t="s">
        <v>527</v>
      </c>
      <c r="D17" s="13"/>
      <c r="E17" s="21" t="s">
        <v>243</v>
      </c>
      <c r="F17" s="6"/>
      <c r="G17" s="7">
        <f t="shared" si="1"/>
        <v>0</v>
      </c>
      <c r="H17" s="6"/>
      <c r="I17" s="22">
        <f t="shared" si="2"/>
        <v>0</v>
      </c>
      <c r="J17" s="21"/>
      <c r="K17" s="22">
        <f t="shared" si="3"/>
        <v>0</v>
      </c>
      <c r="L17" s="21"/>
      <c r="M17" s="22">
        <f t="shared" si="4"/>
        <v>0</v>
      </c>
      <c r="N17" s="34">
        <v>9</v>
      </c>
      <c r="O17" s="35">
        <f t="shared" si="5"/>
        <v>75</v>
      </c>
      <c r="P17" s="34">
        <v>12</v>
      </c>
      <c r="Q17" s="35">
        <f t="shared" si="6"/>
        <v>318.18181818181819</v>
      </c>
      <c r="R17" s="6">
        <v>7</v>
      </c>
      <c r="S17" s="7">
        <f t="shared" si="7"/>
        <v>160</v>
      </c>
      <c r="T17" s="31">
        <v>205</v>
      </c>
      <c r="U17" s="32">
        <f t="shared" si="8"/>
        <v>42.410714285714285</v>
      </c>
      <c r="V17" s="6"/>
      <c r="W17" s="7">
        <f t="shared" si="9"/>
        <v>0</v>
      </c>
      <c r="X17" s="8">
        <f t="shared" si="10"/>
        <v>595.59253246753258</v>
      </c>
      <c r="Y17" s="6">
        <f t="shared" si="11"/>
        <v>7</v>
      </c>
      <c r="Z17" s="6">
        <f t="shared" si="12"/>
        <v>3</v>
      </c>
      <c r="AA17" s="16">
        <f t="shared" si="13"/>
        <v>0.3</v>
      </c>
    </row>
    <row r="18" spans="1:27" x14ac:dyDescent="0.3">
      <c r="A18" s="19">
        <f t="shared" si="0"/>
        <v>8</v>
      </c>
      <c r="B18" s="13" t="s">
        <v>530</v>
      </c>
      <c r="C18" s="13" t="s">
        <v>531</v>
      </c>
      <c r="D18" s="13"/>
      <c r="E18" s="21" t="s">
        <v>278</v>
      </c>
      <c r="F18" s="6"/>
      <c r="G18" s="7">
        <f t="shared" si="1"/>
        <v>0</v>
      </c>
      <c r="H18" s="6"/>
      <c r="I18" s="22">
        <f t="shared" si="2"/>
        <v>0</v>
      </c>
      <c r="J18" s="21"/>
      <c r="K18" s="22">
        <f t="shared" si="3"/>
        <v>0</v>
      </c>
      <c r="L18" s="21"/>
      <c r="M18" s="22">
        <f t="shared" si="4"/>
        <v>0</v>
      </c>
      <c r="N18" s="34">
        <v>11</v>
      </c>
      <c r="O18" s="35">
        <f t="shared" si="5"/>
        <v>25</v>
      </c>
      <c r="P18" s="34">
        <v>30</v>
      </c>
      <c r="Q18" s="35">
        <f t="shared" si="6"/>
        <v>45.454545454545453</v>
      </c>
      <c r="R18" s="6">
        <v>3</v>
      </c>
      <c r="S18" s="7">
        <f t="shared" si="7"/>
        <v>240</v>
      </c>
      <c r="T18" s="17"/>
      <c r="U18" s="7">
        <f t="shared" si="8"/>
        <v>0</v>
      </c>
      <c r="V18" s="17"/>
      <c r="W18" s="7">
        <f t="shared" si="9"/>
        <v>0</v>
      </c>
      <c r="X18" s="8">
        <f t="shared" si="10"/>
        <v>310.45454545454544</v>
      </c>
      <c r="Y18" s="6">
        <f t="shared" si="11"/>
        <v>8</v>
      </c>
      <c r="Z18" s="6">
        <f t="shared" si="12"/>
        <v>2</v>
      </c>
      <c r="AA18" s="16">
        <f t="shared" si="13"/>
        <v>0.2</v>
      </c>
    </row>
    <row r="19" spans="1:27" x14ac:dyDescent="0.3">
      <c r="A19" s="19">
        <f t="shared" si="0"/>
        <v>9</v>
      </c>
      <c r="B19" s="13" t="s">
        <v>520</v>
      </c>
      <c r="C19" s="13" t="s">
        <v>521</v>
      </c>
      <c r="D19" s="13"/>
      <c r="E19" s="21" t="s">
        <v>243</v>
      </c>
      <c r="F19" s="6"/>
      <c r="G19" s="7">
        <f t="shared" si="1"/>
        <v>0</v>
      </c>
      <c r="H19" s="6"/>
      <c r="I19" s="22">
        <f t="shared" si="2"/>
        <v>0</v>
      </c>
      <c r="J19" s="21"/>
      <c r="K19" s="22">
        <f t="shared" si="3"/>
        <v>0</v>
      </c>
      <c r="L19" s="21"/>
      <c r="M19" s="22">
        <f t="shared" si="4"/>
        <v>0</v>
      </c>
      <c r="N19" s="34">
        <v>6</v>
      </c>
      <c r="O19" s="35">
        <f t="shared" si="5"/>
        <v>150</v>
      </c>
      <c r="P19" s="34">
        <v>29</v>
      </c>
      <c r="Q19" s="35">
        <f t="shared" si="6"/>
        <v>60.606060606060609</v>
      </c>
      <c r="R19" s="6"/>
      <c r="S19" s="7">
        <f t="shared" si="7"/>
        <v>0</v>
      </c>
      <c r="T19" s="33">
        <v>220</v>
      </c>
      <c r="U19" s="32">
        <f t="shared" si="8"/>
        <v>8.9285714285714288</v>
      </c>
      <c r="V19" s="17"/>
      <c r="W19" s="7">
        <f t="shared" si="9"/>
        <v>0</v>
      </c>
      <c r="X19" s="8">
        <f t="shared" si="10"/>
        <v>219.53463203463204</v>
      </c>
      <c r="Y19" s="6">
        <f t="shared" si="11"/>
        <v>9</v>
      </c>
      <c r="Z19" s="6">
        <f t="shared" si="12"/>
        <v>2</v>
      </c>
      <c r="AA19" s="16">
        <f t="shared" si="13"/>
        <v>0.2</v>
      </c>
    </row>
    <row r="20" spans="1:27" x14ac:dyDescent="0.3">
      <c r="A20" s="19">
        <f t="shared" si="0"/>
        <v>10</v>
      </c>
      <c r="B20" s="13" t="s">
        <v>767</v>
      </c>
      <c r="C20" s="13" t="s">
        <v>130</v>
      </c>
      <c r="D20" s="13"/>
      <c r="E20" s="21" t="s">
        <v>246</v>
      </c>
      <c r="F20" s="6"/>
      <c r="G20" s="7">
        <f t="shared" si="1"/>
        <v>0</v>
      </c>
      <c r="H20" s="6"/>
      <c r="I20" s="22">
        <f t="shared" si="2"/>
        <v>0</v>
      </c>
      <c r="J20" s="21"/>
      <c r="K20" s="22">
        <f t="shared" si="3"/>
        <v>0</v>
      </c>
      <c r="L20" s="21"/>
      <c r="M20" s="22">
        <f t="shared" si="4"/>
        <v>0</v>
      </c>
      <c r="N20" s="21"/>
      <c r="O20" s="22">
        <f t="shared" si="5"/>
        <v>0</v>
      </c>
      <c r="P20" s="21"/>
      <c r="Q20" s="22">
        <f t="shared" si="6"/>
        <v>0</v>
      </c>
      <c r="R20" s="6">
        <v>6</v>
      </c>
      <c r="S20" s="7">
        <f t="shared" si="7"/>
        <v>180</v>
      </c>
      <c r="T20" s="6"/>
      <c r="U20" s="7">
        <f t="shared" si="8"/>
        <v>0</v>
      </c>
      <c r="V20" s="6"/>
      <c r="W20" s="7">
        <f t="shared" si="9"/>
        <v>0</v>
      </c>
      <c r="X20" s="8">
        <f t="shared" si="10"/>
        <v>180</v>
      </c>
      <c r="Y20" s="6">
        <f t="shared" si="11"/>
        <v>10</v>
      </c>
      <c r="Z20" s="6">
        <f t="shared" si="12"/>
        <v>1</v>
      </c>
      <c r="AA20" s="16">
        <f t="shared" si="13"/>
        <v>0.1</v>
      </c>
    </row>
    <row r="21" spans="1:27" x14ac:dyDescent="0.3">
      <c r="A21" s="19">
        <f t="shared" si="0"/>
        <v>11</v>
      </c>
      <c r="B21" s="13" t="s">
        <v>528</v>
      </c>
      <c r="C21" s="13" t="s">
        <v>529</v>
      </c>
      <c r="D21" s="13"/>
      <c r="E21" s="21" t="s">
        <v>278</v>
      </c>
      <c r="F21" s="6"/>
      <c r="G21" s="7">
        <f t="shared" si="1"/>
        <v>0</v>
      </c>
      <c r="H21" s="6"/>
      <c r="I21" s="22">
        <f t="shared" si="2"/>
        <v>0</v>
      </c>
      <c r="J21" s="21"/>
      <c r="K21" s="22">
        <f t="shared" si="3"/>
        <v>0</v>
      </c>
      <c r="L21" s="21"/>
      <c r="M21" s="22">
        <f t="shared" si="4"/>
        <v>0</v>
      </c>
      <c r="N21" s="34">
        <v>10</v>
      </c>
      <c r="O21" s="35">
        <f t="shared" si="5"/>
        <v>50</v>
      </c>
      <c r="P21" s="21"/>
      <c r="Q21" s="22">
        <f t="shared" si="6"/>
        <v>0</v>
      </c>
      <c r="R21" s="6">
        <v>10</v>
      </c>
      <c r="S21" s="7">
        <f t="shared" si="7"/>
        <v>100</v>
      </c>
      <c r="T21" s="6"/>
      <c r="U21" s="7">
        <f t="shared" si="8"/>
        <v>0</v>
      </c>
      <c r="V21" s="6"/>
      <c r="W21" s="7">
        <f t="shared" si="9"/>
        <v>0</v>
      </c>
      <c r="X21" s="8">
        <f t="shared" si="10"/>
        <v>150</v>
      </c>
      <c r="Y21" s="6">
        <f t="shared" si="11"/>
        <v>11</v>
      </c>
      <c r="Z21" s="6">
        <f t="shared" si="12"/>
        <v>2</v>
      </c>
      <c r="AA21" s="16">
        <f t="shared" si="13"/>
        <v>0.2</v>
      </c>
    </row>
    <row r="22" spans="1:27" x14ac:dyDescent="0.3">
      <c r="A22" s="19">
        <f t="shared" si="0"/>
        <v>12</v>
      </c>
      <c r="B22" s="13" t="s">
        <v>524</v>
      </c>
      <c r="C22" s="13" t="s">
        <v>525</v>
      </c>
      <c r="D22" s="13"/>
      <c r="E22" s="21" t="s">
        <v>243</v>
      </c>
      <c r="F22" s="6"/>
      <c r="G22" s="7">
        <f t="shared" si="1"/>
        <v>0</v>
      </c>
      <c r="H22" s="6"/>
      <c r="I22" s="22">
        <f t="shared" si="2"/>
        <v>0</v>
      </c>
      <c r="J22" s="21"/>
      <c r="K22" s="22">
        <f t="shared" si="3"/>
        <v>0</v>
      </c>
      <c r="L22" s="21"/>
      <c r="M22" s="22">
        <f t="shared" si="4"/>
        <v>0</v>
      </c>
      <c r="N22" s="34">
        <v>8</v>
      </c>
      <c r="O22" s="35">
        <f t="shared" si="5"/>
        <v>100</v>
      </c>
      <c r="P22" s="21"/>
      <c r="Q22" s="22">
        <f t="shared" si="6"/>
        <v>0</v>
      </c>
      <c r="R22" s="6"/>
      <c r="S22" s="7">
        <f t="shared" si="7"/>
        <v>0</v>
      </c>
      <c r="T22" s="6"/>
      <c r="U22" s="7">
        <f t="shared" si="8"/>
        <v>0</v>
      </c>
      <c r="V22" s="6"/>
      <c r="W22" s="7">
        <f t="shared" si="9"/>
        <v>0</v>
      </c>
      <c r="X22" s="8">
        <f t="shared" si="10"/>
        <v>100</v>
      </c>
      <c r="Y22" s="6">
        <f t="shared" si="11"/>
        <v>12</v>
      </c>
      <c r="Z22" s="6">
        <f t="shared" si="12"/>
        <v>1</v>
      </c>
      <c r="AA22" s="16">
        <f t="shared" si="13"/>
        <v>0.1</v>
      </c>
    </row>
    <row r="23" spans="1:27" x14ac:dyDescent="0.3">
      <c r="A23" s="19">
        <f t="shared" si="0"/>
        <v>13</v>
      </c>
      <c r="B23" s="21" t="s">
        <v>768</v>
      </c>
      <c r="C23" s="21" t="s">
        <v>769</v>
      </c>
      <c r="D23" s="21"/>
      <c r="E23" s="21" t="s">
        <v>253</v>
      </c>
      <c r="F23" s="6"/>
      <c r="G23" s="7">
        <f t="shared" si="1"/>
        <v>0</v>
      </c>
      <c r="H23" s="6"/>
      <c r="I23" s="22">
        <f t="shared" si="2"/>
        <v>0</v>
      </c>
      <c r="J23" s="21"/>
      <c r="K23" s="22">
        <f t="shared" si="3"/>
        <v>0</v>
      </c>
      <c r="L23" s="21"/>
      <c r="M23" s="22">
        <f t="shared" si="4"/>
        <v>0</v>
      </c>
      <c r="N23" s="21"/>
      <c r="O23" s="22">
        <f t="shared" si="5"/>
        <v>0</v>
      </c>
      <c r="P23" s="21"/>
      <c r="Q23" s="22">
        <f>IF(P23=0,,($N$9-P23)*$N$7*100/$N$9)</f>
        <v>0</v>
      </c>
      <c r="R23" s="6">
        <v>11</v>
      </c>
      <c r="S23" s="7">
        <f t="shared" si="7"/>
        <v>80</v>
      </c>
      <c r="T23" s="6"/>
      <c r="U23" s="7">
        <f t="shared" si="8"/>
        <v>0</v>
      </c>
      <c r="V23" s="6"/>
      <c r="W23" s="7">
        <f t="shared" si="9"/>
        <v>0</v>
      </c>
      <c r="X23" s="8">
        <f t="shared" si="10"/>
        <v>80</v>
      </c>
      <c r="Y23" s="6">
        <f t="shared" si="11"/>
        <v>13</v>
      </c>
      <c r="Z23" s="6">
        <f t="shared" si="12"/>
        <v>1</v>
      </c>
      <c r="AA23" s="16">
        <f t="shared" si="13"/>
        <v>0.1</v>
      </c>
    </row>
    <row r="24" spans="1:27" x14ac:dyDescent="0.3">
      <c r="A24" s="19">
        <f t="shared" si="0"/>
        <v>14</v>
      </c>
      <c r="B24" s="21" t="s">
        <v>658</v>
      </c>
      <c r="C24" s="21" t="s">
        <v>659</v>
      </c>
      <c r="D24" s="6"/>
      <c r="E24" s="21" t="s">
        <v>278</v>
      </c>
      <c r="F24" s="6"/>
      <c r="G24" s="7">
        <f t="shared" si="1"/>
        <v>0</v>
      </c>
      <c r="H24" s="6"/>
      <c r="I24" s="22">
        <f t="shared" si="2"/>
        <v>0</v>
      </c>
      <c r="J24" s="21"/>
      <c r="K24" s="22">
        <f t="shared" si="3"/>
        <v>0</v>
      </c>
      <c r="L24" s="21"/>
      <c r="M24" s="22">
        <f t="shared" si="4"/>
        <v>0</v>
      </c>
      <c r="N24" s="21"/>
      <c r="O24" s="22">
        <f t="shared" si="5"/>
        <v>0</v>
      </c>
      <c r="P24" s="21"/>
      <c r="Q24" s="22">
        <f>5/2</f>
        <v>2.5</v>
      </c>
      <c r="R24" s="6">
        <v>12</v>
      </c>
      <c r="S24" s="7">
        <f t="shared" si="7"/>
        <v>60</v>
      </c>
      <c r="T24" s="6"/>
      <c r="U24" s="7">
        <f t="shared" si="8"/>
        <v>0</v>
      </c>
      <c r="V24" s="6"/>
      <c r="W24" s="7">
        <f t="shared" si="9"/>
        <v>0</v>
      </c>
      <c r="X24" s="8">
        <f t="shared" si="10"/>
        <v>62.5</v>
      </c>
      <c r="Y24" s="6">
        <f t="shared" si="11"/>
        <v>14</v>
      </c>
      <c r="Z24" s="6">
        <f t="shared" si="12"/>
        <v>1</v>
      </c>
      <c r="AA24" s="16">
        <f t="shared" si="13"/>
        <v>0.1</v>
      </c>
    </row>
    <row r="25" spans="1:27" x14ac:dyDescent="0.3">
      <c r="A25" s="20">
        <f t="shared" si="0"/>
        <v>15</v>
      </c>
      <c r="B25" s="13" t="s">
        <v>532</v>
      </c>
      <c r="C25" s="13" t="s">
        <v>533</v>
      </c>
      <c r="D25" s="13"/>
      <c r="E25" s="21" t="s">
        <v>243</v>
      </c>
      <c r="F25" s="6"/>
      <c r="G25" s="7">
        <f t="shared" si="1"/>
        <v>0</v>
      </c>
      <c r="H25" s="6"/>
      <c r="I25" s="22">
        <f t="shared" si="2"/>
        <v>0</v>
      </c>
      <c r="J25" s="21"/>
      <c r="K25" s="22">
        <f t="shared" si="3"/>
        <v>0</v>
      </c>
      <c r="L25" s="21"/>
      <c r="M25" s="22">
        <f t="shared" si="4"/>
        <v>0</v>
      </c>
      <c r="N25" s="34">
        <v>12</v>
      </c>
      <c r="O25" s="35">
        <f t="shared" si="5"/>
        <v>0</v>
      </c>
      <c r="P25" s="21"/>
      <c r="Q25" s="22">
        <f>IF(P25=0,,($P$9-P25)*$P$7*100/$P$9)</f>
        <v>0</v>
      </c>
      <c r="R25" s="6">
        <v>13</v>
      </c>
      <c r="S25" s="7">
        <f t="shared" si="7"/>
        <v>40</v>
      </c>
      <c r="T25" s="6"/>
      <c r="U25" s="7">
        <f t="shared" si="8"/>
        <v>0</v>
      </c>
      <c r="V25" s="6"/>
      <c r="W25" s="7">
        <f t="shared" si="9"/>
        <v>0</v>
      </c>
      <c r="X25" s="8">
        <f t="shared" si="10"/>
        <v>40</v>
      </c>
      <c r="Y25" s="6">
        <f t="shared" si="11"/>
        <v>15</v>
      </c>
      <c r="Z25" s="6">
        <f t="shared" si="12"/>
        <v>2</v>
      </c>
      <c r="AA25" s="16">
        <f t="shared" si="13"/>
        <v>0.2</v>
      </c>
    </row>
    <row r="26" spans="1:27" x14ac:dyDescent="0.3">
      <c r="A26" s="20">
        <f t="shared" si="0"/>
        <v>16</v>
      </c>
      <c r="B26" s="21" t="s">
        <v>313</v>
      </c>
      <c r="C26" s="21" t="s">
        <v>402</v>
      </c>
      <c r="D26" s="13"/>
      <c r="E26" s="21" t="s">
        <v>246</v>
      </c>
      <c r="F26" s="6"/>
      <c r="G26" s="7">
        <f t="shared" si="1"/>
        <v>0</v>
      </c>
      <c r="H26" s="6"/>
      <c r="I26" s="22">
        <f t="shared" si="2"/>
        <v>0</v>
      </c>
      <c r="J26" s="21"/>
      <c r="K26" s="22">
        <f t="shared" si="3"/>
        <v>0</v>
      </c>
      <c r="L26" s="21"/>
      <c r="M26" s="22">
        <f t="shared" si="4"/>
        <v>0</v>
      </c>
      <c r="N26" s="21"/>
      <c r="O26" s="22">
        <f t="shared" si="5"/>
        <v>0</v>
      </c>
      <c r="P26" s="21"/>
      <c r="Q26" s="22">
        <f>IF(P26=0,,($P$9-P26)*$P$7*100/$P$9)</f>
        <v>0</v>
      </c>
      <c r="R26" s="6">
        <v>14</v>
      </c>
      <c r="S26" s="7">
        <f t="shared" si="7"/>
        <v>20</v>
      </c>
      <c r="T26" s="6"/>
      <c r="U26" s="7">
        <f t="shared" si="8"/>
        <v>0</v>
      </c>
      <c r="V26" s="6"/>
      <c r="W26" s="7">
        <f t="shared" si="9"/>
        <v>0</v>
      </c>
      <c r="X26" s="8">
        <f t="shared" si="10"/>
        <v>20</v>
      </c>
      <c r="Y26" s="6">
        <f t="shared" si="11"/>
        <v>16</v>
      </c>
      <c r="Z26" s="6">
        <f t="shared" si="12"/>
        <v>1</v>
      </c>
      <c r="AA26" s="16">
        <f t="shared" si="13"/>
        <v>0.1</v>
      </c>
    </row>
    <row r="27" spans="1:27" x14ac:dyDescent="0.3">
      <c r="A27" s="20">
        <f t="shared" si="0"/>
        <v>17</v>
      </c>
      <c r="B27" s="21" t="s">
        <v>770</v>
      </c>
      <c r="C27" s="21" t="s">
        <v>659</v>
      </c>
      <c r="D27" s="21"/>
      <c r="E27" s="21" t="s">
        <v>771</v>
      </c>
      <c r="F27" s="6"/>
      <c r="G27" s="7">
        <f t="shared" si="1"/>
        <v>0</v>
      </c>
      <c r="H27" s="6"/>
      <c r="I27" s="22">
        <f t="shared" si="2"/>
        <v>0</v>
      </c>
      <c r="J27" s="21"/>
      <c r="K27" s="22">
        <f t="shared" si="3"/>
        <v>0</v>
      </c>
      <c r="L27" s="21"/>
      <c r="M27" s="22">
        <f t="shared" si="4"/>
        <v>0</v>
      </c>
      <c r="N27" s="21"/>
      <c r="O27" s="22">
        <f t="shared" si="5"/>
        <v>0</v>
      </c>
      <c r="P27" s="21"/>
      <c r="Q27" s="22">
        <f>IF(P27=0,,($N$9-P27)*$N$7*100/$N$9)</f>
        <v>0</v>
      </c>
      <c r="R27" s="6">
        <v>15</v>
      </c>
      <c r="S27" s="7">
        <v>10</v>
      </c>
      <c r="T27" s="6"/>
      <c r="U27" s="7">
        <f t="shared" si="8"/>
        <v>0</v>
      </c>
      <c r="V27" s="6"/>
      <c r="W27" s="7">
        <f t="shared" si="9"/>
        <v>0</v>
      </c>
      <c r="X27" s="8">
        <f t="shared" si="10"/>
        <v>10</v>
      </c>
      <c r="Y27" s="6">
        <f t="shared" si="11"/>
        <v>17</v>
      </c>
      <c r="Z27" s="6">
        <f t="shared" si="12"/>
        <v>1</v>
      </c>
      <c r="AA27" s="16">
        <f t="shared" si="13"/>
        <v>0.1</v>
      </c>
    </row>
    <row r="28" spans="1:27" x14ac:dyDescent="0.3">
      <c r="A28" s="20">
        <f t="shared" si="0"/>
        <v>18</v>
      </c>
      <c r="B28" s="13" t="s">
        <v>254</v>
      </c>
      <c r="C28" s="13" t="s">
        <v>255</v>
      </c>
      <c r="D28" s="13"/>
      <c r="E28" s="21" t="s">
        <v>243</v>
      </c>
      <c r="F28" s="6">
        <v>6</v>
      </c>
      <c r="G28" s="7">
        <f t="shared" si="1"/>
        <v>0</v>
      </c>
      <c r="H28" s="6"/>
      <c r="I28" s="22">
        <f>18/2</f>
        <v>9</v>
      </c>
      <c r="J28" s="21"/>
      <c r="K28" s="22">
        <f t="shared" si="3"/>
        <v>0</v>
      </c>
      <c r="L28" s="21"/>
      <c r="M28" s="22">
        <f t="shared" si="4"/>
        <v>0</v>
      </c>
      <c r="N28" s="21"/>
      <c r="O28" s="22">
        <f t="shared" si="5"/>
        <v>0</v>
      </c>
      <c r="P28" s="21"/>
      <c r="Q28" s="22">
        <f>IF(P28=0,,($P$9-P28)*$P$7*100/$P$9)</f>
        <v>0</v>
      </c>
      <c r="R28" s="6"/>
      <c r="S28" s="7">
        <f>IF(R28=0,,($R$9-R28)*$R$7*100/$R$9)</f>
        <v>0</v>
      </c>
      <c r="T28" s="17"/>
      <c r="U28" s="7">
        <f t="shared" si="8"/>
        <v>0</v>
      </c>
      <c r="V28" s="17"/>
      <c r="W28" s="7">
        <f t="shared" si="9"/>
        <v>0</v>
      </c>
      <c r="X28" s="8">
        <f t="shared" si="10"/>
        <v>9</v>
      </c>
      <c r="Y28" s="6">
        <f t="shared" si="11"/>
        <v>18</v>
      </c>
      <c r="Z28" s="6">
        <f t="shared" si="12"/>
        <v>1</v>
      </c>
      <c r="AA28" s="16">
        <f t="shared" si="13"/>
        <v>0.1</v>
      </c>
    </row>
    <row r="29" spans="1:27" x14ac:dyDescent="0.3">
      <c r="A29" s="20">
        <f t="shared" si="0"/>
        <v>19</v>
      </c>
      <c r="B29" s="6"/>
      <c r="C29" s="6"/>
      <c r="D29" s="6"/>
      <c r="E29" s="6"/>
      <c r="F29" s="6"/>
      <c r="G29" s="7">
        <f t="shared" si="1"/>
        <v>0</v>
      </c>
      <c r="H29" s="6"/>
      <c r="I29" s="7">
        <f>IF(H29=0,,($H$9-H29)*$H$7*100/$H$9)</f>
        <v>0</v>
      </c>
      <c r="J29" s="6"/>
      <c r="K29" s="7">
        <f>IF(J29=0,,($H$9-J29)*$H$7*100/$H$9)</f>
        <v>0</v>
      </c>
      <c r="L29" s="6"/>
      <c r="M29" s="7">
        <f>17/2</f>
        <v>8.5</v>
      </c>
      <c r="N29" s="21"/>
      <c r="O29" s="22">
        <f t="shared" si="5"/>
        <v>0</v>
      </c>
      <c r="P29" s="21"/>
      <c r="Q29" s="22">
        <f>IF(P29=0,,($N$9-P29)*$N$7*100/$N$9)</f>
        <v>0</v>
      </c>
      <c r="R29" s="6"/>
      <c r="S29" s="7">
        <f>IF(R29=0,,($R$9-R29)*$R$7*100/$R$9)</f>
        <v>0</v>
      </c>
      <c r="T29" s="6"/>
      <c r="U29" s="7">
        <f t="shared" si="8"/>
        <v>0</v>
      </c>
      <c r="V29" s="6"/>
      <c r="W29" s="7">
        <f t="shared" si="9"/>
        <v>0</v>
      </c>
      <c r="X29" s="8">
        <f t="shared" si="10"/>
        <v>8.5</v>
      </c>
      <c r="Y29" s="6">
        <f t="shared" si="11"/>
        <v>19</v>
      </c>
      <c r="Z29" s="6">
        <f t="shared" si="12"/>
        <v>0</v>
      </c>
      <c r="AA29" s="16">
        <f t="shared" si="13"/>
        <v>0</v>
      </c>
    </row>
    <row r="30" spans="1:27" x14ac:dyDescent="0.3">
      <c r="A30" s="20">
        <f t="shared" si="0"/>
        <v>20</v>
      </c>
      <c r="B30" s="21"/>
      <c r="C30" s="21"/>
      <c r="D30" s="21"/>
      <c r="E30" s="21"/>
      <c r="F30" s="6"/>
      <c r="G30" s="7">
        <f t="shared" ref="G30:G32" si="14">IF(F30=0,,($F$9-F30)*$F$7*100/$F$9)</f>
        <v>0</v>
      </c>
      <c r="H30" s="6"/>
      <c r="I30" s="7">
        <f>IF(H30=0,,($H$9-H30)*$H$7*100/$H$9)</f>
        <v>0</v>
      </c>
      <c r="J30" s="6"/>
      <c r="K30" s="7">
        <f>IF(J30=0,,($J$9-J30)*$J$7*100/$J$9)</f>
        <v>0</v>
      </c>
      <c r="L30" s="6"/>
      <c r="M30" s="7">
        <f>IF(L30=0,,($L$9-L30)*$L$7*100/$L$9)</f>
        <v>0</v>
      </c>
      <c r="N30" s="21"/>
      <c r="O30" s="22">
        <f t="shared" ref="O30:O32" si="15">IF(N30=0,,($N$9-N30)*$N$7*100/$N$9)</f>
        <v>0</v>
      </c>
      <c r="P30" s="21"/>
      <c r="Q30" s="22">
        <f>IF(P30=0,,($N$9-P30)*$N$7*100/$N$9)</f>
        <v>0</v>
      </c>
      <c r="R30" s="6"/>
      <c r="S30" s="7">
        <f>IF(R30=0,,($R$9-R30)*$R$7*100/$R$9)</f>
        <v>0</v>
      </c>
      <c r="T30" s="6"/>
      <c r="U30" s="7">
        <f t="shared" ref="U30:U32" si="16">IF(T30=0,,($T$9-T30)*$T$7*100/$T$9)</f>
        <v>0</v>
      </c>
      <c r="V30" s="6"/>
      <c r="W30" s="7">
        <f t="shared" ref="W30:W32" si="17">IF(V30=0,,($V$9-V30)*$V$7*100/$V$9)</f>
        <v>0</v>
      </c>
      <c r="X30" s="8">
        <f t="shared" ref="X30:X33" si="18">SUM(G30+I30+K30+M30+O30+Q30+S30+U30+W30)</f>
        <v>0</v>
      </c>
      <c r="Y30" s="6">
        <f t="shared" si="11"/>
        <v>20</v>
      </c>
      <c r="Z30" s="6">
        <f t="shared" si="12"/>
        <v>0</v>
      </c>
      <c r="AA30" s="16">
        <f t="shared" si="13"/>
        <v>0</v>
      </c>
    </row>
    <row r="31" spans="1:27" x14ac:dyDescent="0.3">
      <c r="A31" s="20">
        <f t="shared" si="0"/>
        <v>21</v>
      </c>
      <c r="B31" s="6"/>
      <c r="C31" s="6"/>
      <c r="D31" s="6"/>
      <c r="E31" s="6"/>
      <c r="F31" s="6"/>
      <c r="G31" s="7">
        <f t="shared" si="14"/>
        <v>0</v>
      </c>
      <c r="H31" s="6"/>
      <c r="I31" s="7">
        <f>IF(H31=0,,($H$9-H31)*$H$7*100/$H$9)</f>
        <v>0</v>
      </c>
      <c r="J31" s="6"/>
      <c r="K31" s="7">
        <f>IF(J31=0,,($H$9-J31)*$H$7*100/$H$9)</f>
        <v>0</v>
      </c>
      <c r="L31" s="6"/>
      <c r="M31" s="7">
        <f>IF(L31=0,,($L$9-L31)*$L$7*100/$L$9)</f>
        <v>0</v>
      </c>
      <c r="N31" s="21"/>
      <c r="O31" s="22">
        <f t="shared" si="15"/>
        <v>0</v>
      </c>
      <c r="P31" s="21"/>
      <c r="Q31" s="22">
        <f>IF(P31=0,,($N$9-P31)*$N$7*100/$N$9)</f>
        <v>0</v>
      </c>
      <c r="R31" s="6"/>
      <c r="S31" s="7">
        <f>IF(R31=0,,($R$9-R31)*$R$7*100/$R$9)</f>
        <v>0</v>
      </c>
      <c r="T31" s="6"/>
      <c r="U31" s="7">
        <f t="shared" si="16"/>
        <v>0</v>
      </c>
      <c r="V31" s="6"/>
      <c r="W31" s="7">
        <f t="shared" si="17"/>
        <v>0</v>
      </c>
      <c r="X31" s="8">
        <f t="shared" si="18"/>
        <v>0</v>
      </c>
      <c r="Y31" s="6">
        <f t="shared" si="11"/>
        <v>21</v>
      </c>
      <c r="Z31" s="6">
        <f t="shared" si="12"/>
        <v>0</v>
      </c>
      <c r="AA31" s="16">
        <f t="shared" si="13"/>
        <v>0</v>
      </c>
    </row>
    <row r="32" spans="1:27" x14ac:dyDescent="0.3">
      <c r="A32" s="20">
        <f t="shared" si="0"/>
        <v>22</v>
      </c>
      <c r="B32" s="6"/>
      <c r="C32" s="6"/>
      <c r="D32" s="6"/>
      <c r="E32" s="6"/>
      <c r="F32" s="6"/>
      <c r="G32" s="7">
        <f t="shared" si="14"/>
        <v>0</v>
      </c>
      <c r="H32" s="6"/>
      <c r="I32" s="7">
        <f>IF(H32=0,,($H$9-H32)*$H$7*100/$H$9)</f>
        <v>0</v>
      </c>
      <c r="J32" s="6"/>
      <c r="K32" s="7">
        <f>IF(J32=0,,($H$9-J32)*$H$7*100/$H$9)</f>
        <v>0</v>
      </c>
      <c r="L32" s="6"/>
      <c r="M32" s="7">
        <f>IF(L32=0,,($L$9-L32)*$L$7*100/$L$9)</f>
        <v>0</v>
      </c>
      <c r="N32" s="21"/>
      <c r="O32" s="22">
        <f t="shared" si="15"/>
        <v>0</v>
      </c>
      <c r="P32" s="21"/>
      <c r="Q32" s="22">
        <f>IF(P32=0,,($N$9-P32)*$N$7*100/$N$9)</f>
        <v>0</v>
      </c>
      <c r="R32" s="6"/>
      <c r="S32" s="7">
        <f>IF(R32=0,,($R$9-R32)*$R$7*100/$R$9)</f>
        <v>0</v>
      </c>
      <c r="T32" s="6"/>
      <c r="U32" s="7">
        <f t="shared" si="16"/>
        <v>0</v>
      </c>
      <c r="V32" s="6"/>
      <c r="W32" s="7">
        <f t="shared" si="17"/>
        <v>0</v>
      </c>
      <c r="X32" s="8">
        <f t="shared" si="18"/>
        <v>0</v>
      </c>
      <c r="Y32" s="6">
        <f t="shared" si="11"/>
        <v>22</v>
      </c>
      <c r="Z32" s="6">
        <f t="shared" si="12"/>
        <v>0</v>
      </c>
      <c r="AA32" s="16">
        <f t="shared" si="13"/>
        <v>0</v>
      </c>
    </row>
    <row r="33" spans="1:25" x14ac:dyDescent="0.3">
      <c r="A33" s="20">
        <f t="shared" ref="A33" si="19">W33</f>
        <v>23</v>
      </c>
      <c r="B33" s="6"/>
      <c r="C33" s="6"/>
      <c r="D33" s="6"/>
      <c r="E33" s="6"/>
      <c r="F33" s="6"/>
      <c r="G33" s="7">
        <f t="shared" ref="G33" si="20">IF(F33=0,,($F$9-F33)*$F$7*100/$F$9)</f>
        <v>0</v>
      </c>
      <c r="H33" s="6"/>
      <c r="I33" s="7">
        <f t="shared" ref="I33" si="21">IF(H33=0,,($H$9-H33)*$H$7*100/$H$9)</f>
        <v>0</v>
      </c>
      <c r="J33" s="6"/>
      <c r="K33" s="7">
        <f>IF(J33=0,,($L$9-J33)*$L$7*100/$L$9)</f>
        <v>0</v>
      </c>
      <c r="L33" s="6"/>
      <c r="M33" s="7">
        <f>IF(L33=0,,($N$9-L33)*$N$7*100/$N$9)</f>
        <v>0</v>
      </c>
      <c r="N33" s="6"/>
      <c r="O33" s="7">
        <f>IF(N33=0,,($R$9-N33)*$R$7*100/$R$9)</f>
        <v>0</v>
      </c>
      <c r="P33" s="6"/>
      <c r="Q33" s="7">
        <f>IF(P33=0,,($R$9-P33)*$R$7*100/$R$9)</f>
        <v>0</v>
      </c>
      <c r="R33" s="6"/>
      <c r="S33" s="7">
        <f t="shared" ref="S33" si="22">IF(R33=0,,($R$9-R33)*$R$7*100/$R$9)</f>
        <v>0</v>
      </c>
      <c r="T33" s="6"/>
      <c r="U33" s="7">
        <f t="shared" ref="U33" si="23">IF(T33=0,,($T$9-T33)*$T$7*100/$T$9)</f>
        <v>0</v>
      </c>
      <c r="V33" s="8">
        <f>SUM(G33,I33,K33,M33,O33,S33)</f>
        <v>0</v>
      </c>
      <c r="W33" s="6">
        <f>ROW(B33)-10</f>
        <v>23</v>
      </c>
      <c r="X33" s="8">
        <f t="shared" si="18"/>
        <v>23</v>
      </c>
      <c r="Y33" s="16">
        <f t="shared" si="13"/>
        <v>2.2999999999999998</v>
      </c>
    </row>
    <row r="34" spans="1:25" x14ac:dyDescent="0.3">
      <c r="A34" s="45" t="s">
        <v>11</v>
      </c>
      <c r="B34" s="45"/>
      <c r="C34" s="46"/>
      <c r="D34" s="9"/>
      <c r="F34">
        <f>COUNTA(F11:F33)</f>
        <v>6</v>
      </c>
      <c r="H34">
        <f>COUNTA(H11:H33)</f>
        <v>1</v>
      </c>
      <c r="J34">
        <f>COUNTA(J11:J33)</f>
        <v>3</v>
      </c>
      <c r="L34">
        <f>COUNTA(L11:L33)</f>
        <v>4</v>
      </c>
      <c r="N34">
        <f>COUNTA(N11:N33)</f>
        <v>12</v>
      </c>
      <c r="P34">
        <f>COUNTA(R11:R33)</f>
        <v>15</v>
      </c>
      <c r="R34">
        <f>COUNTA(T11:T33)</f>
        <v>8</v>
      </c>
    </row>
    <row r="35" spans="1:25" x14ac:dyDescent="0.3">
      <c r="A35" s="55" t="s">
        <v>21</v>
      </c>
      <c r="B35" s="55"/>
      <c r="C35" s="55"/>
      <c r="F35" s="15">
        <f>F34/$G$2</f>
        <v>0.33333333333333331</v>
      </c>
      <c r="H35" s="15">
        <f>H34/$G$2</f>
        <v>5.5555555555555552E-2</v>
      </c>
      <c r="J35" s="15">
        <f>J34/$G$2</f>
        <v>0.16666666666666666</v>
      </c>
      <c r="L35" s="15">
        <f>L34/$G$2</f>
        <v>0.22222222222222221</v>
      </c>
      <c r="N35" s="15">
        <f>N34/$G$2</f>
        <v>0.66666666666666663</v>
      </c>
      <c r="P35" s="15">
        <f>P34/$G$2</f>
        <v>0.83333333333333337</v>
      </c>
      <c r="R35" s="15">
        <f>R34/$G$2</f>
        <v>0.44444444444444442</v>
      </c>
    </row>
  </sheetData>
  <sortState xmlns:xlrd2="http://schemas.microsoft.com/office/spreadsheetml/2017/richdata2" ref="B11:X29">
    <sortCondition descending="1" ref="X11:X29"/>
  </sortState>
  <mergeCells count="41"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J8:K8"/>
    <mergeCell ref="J9:K9"/>
    <mergeCell ref="A35:C35"/>
    <mergeCell ref="H6:I6"/>
    <mergeCell ref="H7:I7"/>
    <mergeCell ref="H8:I8"/>
    <mergeCell ref="H9:I9"/>
    <mergeCell ref="A34:C34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60"/>
  <sheetViews>
    <sheetView zoomScale="97" zoomScaleNormal="97" workbookViewId="0">
      <pane xSplit="3" ySplit="10" topLeftCell="N11" activePane="bottomRight" state="frozenSplit"/>
      <selection activeCell="D26" sqref="D26"/>
      <selection pane="topRight" activeCell="D26" sqref="D26"/>
      <selection pane="bottomLeft" activeCell="D26" sqref="D26"/>
      <selection pane="bottomRight" activeCell="V3" sqref="V3"/>
    </sheetView>
  </sheetViews>
  <sheetFormatPr baseColWidth="10" defaultRowHeight="14.4" x14ac:dyDescent="0.3"/>
  <cols>
    <col min="1" max="1" width="18.33203125" bestFit="1" customWidth="1"/>
    <col min="2" max="2" width="16.66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4" width="11.4414062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8.33203125" bestFit="1" customWidth="1"/>
    <col min="21" max="21" width="15.109375" customWidth="1"/>
    <col min="22" max="22" width="19.6640625" bestFit="1" customWidth="1"/>
  </cols>
  <sheetData>
    <row r="1" spans="1:24" ht="31.2" x14ac:dyDescent="0.6">
      <c r="A1" s="47" t="s">
        <v>106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24" x14ac:dyDescent="0.3">
      <c r="E2" s="54" t="s">
        <v>17</v>
      </c>
      <c r="F2" s="54"/>
      <c r="G2" s="14">
        <f>COUNTA(B11:B58)</f>
        <v>47</v>
      </c>
    </row>
    <row r="3" spans="1:24" x14ac:dyDescent="0.3">
      <c r="B3" s="2"/>
      <c r="E3" s="54" t="s">
        <v>19</v>
      </c>
      <c r="F3" s="54"/>
      <c r="G3" s="14">
        <f>COUNTA(E8:T8)</f>
        <v>8</v>
      </c>
    </row>
    <row r="4" spans="1:24" x14ac:dyDescent="0.3">
      <c r="B4" s="2"/>
      <c r="C4" s="3"/>
    </row>
    <row r="6" spans="1:24" x14ac:dyDescent="0.3">
      <c r="D6" s="1" t="s">
        <v>0</v>
      </c>
      <c r="E6" s="41" t="s">
        <v>274</v>
      </c>
      <c r="F6" s="41"/>
      <c r="G6" s="41" t="s">
        <v>363</v>
      </c>
      <c r="H6" s="41"/>
      <c r="I6" s="41" t="s">
        <v>375</v>
      </c>
      <c r="J6" s="41"/>
      <c r="K6" s="41" t="s">
        <v>480</v>
      </c>
      <c r="L6" s="41"/>
      <c r="M6" s="41" t="s">
        <v>639</v>
      </c>
      <c r="N6" s="41"/>
      <c r="O6" s="41" t="s">
        <v>671</v>
      </c>
      <c r="P6" s="41"/>
      <c r="Q6" s="41" t="s">
        <v>853</v>
      </c>
      <c r="R6" s="41"/>
      <c r="S6" s="41" t="s">
        <v>111</v>
      </c>
      <c r="T6" s="41"/>
    </row>
    <row r="7" spans="1:24" x14ac:dyDescent="0.3">
      <c r="D7" s="1" t="s">
        <v>10</v>
      </c>
      <c r="E7" s="42">
        <v>3</v>
      </c>
      <c r="F7" s="43"/>
      <c r="G7" s="42">
        <v>3</v>
      </c>
      <c r="H7" s="43"/>
      <c r="I7" s="42">
        <v>3</v>
      </c>
      <c r="J7" s="43"/>
      <c r="K7" s="42">
        <v>3</v>
      </c>
      <c r="L7" s="43"/>
      <c r="M7" s="42">
        <v>3</v>
      </c>
      <c r="N7" s="43"/>
      <c r="O7" s="42">
        <v>3</v>
      </c>
      <c r="P7" s="43"/>
      <c r="Q7" s="42">
        <v>4</v>
      </c>
      <c r="R7" s="43"/>
      <c r="S7" s="42">
        <v>4</v>
      </c>
      <c r="T7" s="43"/>
    </row>
    <row r="8" spans="1:24" x14ac:dyDescent="0.3">
      <c r="D8" s="1" t="s">
        <v>1</v>
      </c>
      <c r="E8" s="44">
        <v>45213</v>
      </c>
      <c r="F8" s="44"/>
      <c r="G8" s="58">
        <v>45226</v>
      </c>
      <c r="H8" s="59"/>
      <c r="I8" s="58">
        <v>45241</v>
      </c>
      <c r="J8" s="59"/>
      <c r="K8" s="58">
        <v>45249</v>
      </c>
      <c r="L8" s="59"/>
      <c r="M8" s="44">
        <v>45276</v>
      </c>
      <c r="N8" s="44"/>
      <c r="O8" s="44">
        <v>45339</v>
      </c>
      <c r="P8" s="44"/>
      <c r="Q8" s="44">
        <v>45396</v>
      </c>
      <c r="R8" s="44"/>
      <c r="S8" s="44" t="s">
        <v>33</v>
      </c>
      <c r="T8" s="44"/>
    </row>
    <row r="9" spans="1:24" x14ac:dyDescent="0.3">
      <c r="D9" s="1" t="s">
        <v>2</v>
      </c>
      <c r="E9" s="41">
        <v>27</v>
      </c>
      <c r="F9" s="41"/>
      <c r="G9" s="42">
        <v>34</v>
      </c>
      <c r="H9" s="43"/>
      <c r="I9" s="42">
        <v>22</v>
      </c>
      <c r="J9" s="43"/>
      <c r="K9" s="42">
        <v>33</v>
      </c>
      <c r="L9" s="43"/>
      <c r="M9" s="41">
        <v>37</v>
      </c>
      <c r="N9" s="41"/>
      <c r="O9" s="41">
        <v>27</v>
      </c>
      <c r="P9" s="41"/>
      <c r="Q9" s="41">
        <v>28</v>
      </c>
      <c r="R9" s="41"/>
      <c r="S9" s="41">
        <v>32</v>
      </c>
      <c r="T9" s="41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20</v>
      </c>
      <c r="X10" s="1" t="s">
        <v>22</v>
      </c>
    </row>
    <row r="11" spans="1:24" x14ac:dyDescent="0.3">
      <c r="A11" s="5">
        <f t="shared" ref="A11:A33" si="0">V11</f>
        <v>1</v>
      </c>
      <c r="B11" s="6" t="s">
        <v>289</v>
      </c>
      <c r="C11" s="6" t="s">
        <v>290</v>
      </c>
      <c r="D11" s="6" t="s">
        <v>131</v>
      </c>
      <c r="E11" s="6">
        <v>3</v>
      </c>
      <c r="F11" s="7">
        <f t="shared" ref="F11:F33" si="1">IF(E11=0,,($E$9-E11)*$E$7*100/$E$9)</f>
        <v>266.66666666666669</v>
      </c>
      <c r="G11" s="6">
        <v>2</v>
      </c>
      <c r="H11" s="7">
        <f t="shared" ref="H11:H33" si="2">IF(G11=0,,($G$9-G11)*$G$7*100/$G$9)</f>
        <v>282.35294117647061</v>
      </c>
      <c r="I11" s="6">
        <v>1</v>
      </c>
      <c r="J11" s="7">
        <f t="shared" ref="J11:J33" si="3">IF(I11=0,,($I$9-I11)*$I$7*100/$I$9)</f>
        <v>286.36363636363637</v>
      </c>
      <c r="K11" s="6">
        <v>1</v>
      </c>
      <c r="L11" s="7">
        <f t="shared" ref="L11:L33" si="4">IF(K11=0,,($K$9-K11)*$K$7*100/$K$9)</f>
        <v>290.90909090909093</v>
      </c>
      <c r="M11" s="6">
        <v>3</v>
      </c>
      <c r="N11" s="7">
        <f t="shared" ref="N11:N33" si="5">IF(M11=0,,($M$9-M11)*$M$7*100/$M$9)</f>
        <v>275.67567567567568</v>
      </c>
      <c r="O11" s="6"/>
      <c r="P11" s="7">
        <f t="shared" ref="P11:P33" si="6">IF(O11=0,,($O$9-O11)*$O$7*100/$O$9)</f>
        <v>0</v>
      </c>
      <c r="Q11" s="6">
        <v>1</v>
      </c>
      <c r="R11" s="7">
        <f t="shared" ref="R11:R58" si="7">IF(Q11=0,,($Q$9-Q11)*$Q$7*100/$Q$9)</f>
        <v>385.71428571428572</v>
      </c>
      <c r="S11" s="6">
        <v>1</v>
      </c>
      <c r="T11" s="7">
        <f t="shared" ref="T11:T58" si="8">IF(S11=0,,($S$9-S11)*$S$7*100/$S$9)</f>
        <v>387.5</v>
      </c>
      <c r="U11" s="8">
        <f t="shared" ref="U11:U58" si="9">SUM(F11+H11+J11+L11+N11+P11+R11+T11)</f>
        <v>2175.1822965058259</v>
      </c>
      <c r="V11" s="6">
        <f t="shared" ref="V11:V58" si="10">ROW(B11)-10</f>
        <v>1</v>
      </c>
      <c r="W11" s="6">
        <f t="shared" ref="W11:W58" si="11">COUNTA(E11,G11,I11,M11,O11,S11,Q11)</f>
        <v>6</v>
      </c>
      <c r="X11" s="16">
        <f t="shared" ref="X11:X58" si="12">W11/$G$3</f>
        <v>0.75</v>
      </c>
    </row>
    <row r="12" spans="1:24" x14ac:dyDescent="0.3">
      <c r="A12" s="5">
        <f t="shared" si="0"/>
        <v>2</v>
      </c>
      <c r="B12" s="6" t="s">
        <v>365</v>
      </c>
      <c r="C12" s="6" t="s">
        <v>366</v>
      </c>
      <c r="D12" s="6" t="s">
        <v>243</v>
      </c>
      <c r="E12" s="6"/>
      <c r="F12" s="7">
        <f t="shared" si="1"/>
        <v>0</v>
      </c>
      <c r="G12" s="6">
        <v>5</v>
      </c>
      <c r="H12" s="7">
        <f t="shared" si="2"/>
        <v>255.88235294117646</v>
      </c>
      <c r="I12" s="6">
        <v>3</v>
      </c>
      <c r="J12" s="7">
        <f t="shared" si="3"/>
        <v>259.09090909090907</v>
      </c>
      <c r="K12" s="6">
        <v>9</v>
      </c>
      <c r="L12" s="7">
        <f t="shared" si="4"/>
        <v>218.18181818181819</v>
      </c>
      <c r="M12" s="6">
        <v>2</v>
      </c>
      <c r="N12" s="7">
        <f t="shared" si="5"/>
        <v>283.7837837837838</v>
      </c>
      <c r="O12" s="6">
        <v>3</v>
      </c>
      <c r="P12" s="7">
        <f t="shared" si="6"/>
        <v>266.66666666666669</v>
      </c>
      <c r="Q12" s="6">
        <v>5</v>
      </c>
      <c r="R12" s="7">
        <f t="shared" si="7"/>
        <v>328.57142857142856</v>
      </c>
      <c r="S12" s="6">
        <v>14</v>
      </c>
      <c r="T12" s="7">
        <f t="shared" si="8"/>
        <v>225</v>
      </c>
      <c r="U12" s="8">
        <f t="shared" si="9"/>
        <v>1837.1769592357828</v>
      </c>
      <c r="V12" s="6">
        <f t="shared" si="10"/>
        <v>2</v>
      </c>
      <c r="W12" s="6">
        <f t="shared" si="11"/>
        <v>6</v>
      </c>
      <c r="X12" s="16">
        <f t="shared" si="12"/>
        <v>0.75</v>
      </c>
    </row>
    <row r="13" spans="1:24" x14ac:dyDescent="0.3">
      <c r="A13" s="5">
        <f t="shared" si="0"/>
        <v>3</v>
      </c>
      <c r="B13" s="6" t="s">
        <v>241</v>
      </c>
      <c r="C13" s="6" t="s">
        <v>364</v>
      </c>
      <c r="D13" s="6" t="s">
        <v>243</v>
      </c>
      <c r="E13" s="6"/>
      <c r="F13" s="7">
        <f t="shared" si="1"/>
        <v>0</v>
      </c>
      <c r="G13" s="6">
        <v>1</v>
      </c>
      <c r="H13" s="7">
        <f t="shared" si="2"/>
        <v>291.1764705882353</v>
      </c>
      <c r="I13" s="6">
        <v>7</v>
      </c>
      <c r="J13" s="7">
        <f t="shared" si="3"/>
        <v>204.54545454545453</v>
      </c>
      <c r="K13" s="6">
        <v>3</v>
      </c>
      <c r="L13" s="7">
        <f t="shared" si="4"/>
        <v>272.72727272727275</v>
      </c>
      <c r="M13" s="6">
        <v>9</v>
      </c>
      <c r="N13" s="7">
        <f t="shared" si="5"/>
        <v>227.02702702702703</v>
      </c>
      <c r="O13" s="6">
        <v>2</v>
      </c>
      <c r="P13" s="7">
        <f t="shared" si="6"/>
        <v>277.77777777777777</v>
      </c>
      <c r="Q13" s="6">
        <v>6</v>
      </c>
      <c r="R13" s="7">
        <f t="shared" si="7"/>
        <v>314.28571428571428</v>
      </c>
      <c r="S13" s="6">
        <v>15</v>
      </c>
      <c r="T13" s="7">
        <f t="shared" si="8"/>
        <v>212.5</v>
      </c>
      <c r="U13" s="8">
        <f t="shared" si="9"/>
        <v>1800.0397169514818</v>
      </c>
      <c r="V13" s="6">
        <f t="shared" si="10"/>
        <v>3</v>
      </c>
      <c r="W13" s="6">
        <f t="shared" si="11"/>
        <v>6</v>
      </c>
      <c r="X13" s="16">
        <f t="shared" si="12"/>
        <v>0.75</v>
      </c>
    </row>
    <row r="14" spans="1:24" x14ac:dyDescent="0.3">
      <c r="A14" s="5">
        <f t="shared" si="0"/>
        <v>4</v>
      </c>
      <c r="B14" s="6" t="s">
        <v>367</v>
      </c>
      <c r="C14" s="6" t="s">
        <v>368</v>
      </c>
      <c r="D14" s="6" t="s">
        <v>243</v>
      </c>
      <c r="E14" s="6"/>
      <c r="F14" s="7">
        <f t="shared" si="1"/>
        <v>0</v>
      </c>
      <c r="G14" s="6">
        <v>7</v>
      </c>
      <c r="H14" s="7">
        <f t="shared" si="2"/>
        <v>238.23529411764707</v>
      </c>
      <c r="I14" s="6"/>
      <c r="J14" s="7">
        <f t="shared" si="3"/>
        <v>0</v>
      </c>
      <c r="K14" s="6">
        <v>7</v>
      </c>
      <c r="L14" s="7">
        <f t="shared" si="4"/>
        <v>236.36363636363637</v>
      </c>
      <c r="M14" s="6">
        <v>1</v>
      </c>
      <c r="N14" s="7">
        <f t="shared" si="5"/>
        <v>291.89189189189187</v>
      </c>
      <c r="O14" s="6">
        <v>5</v>
      </c>
      <c r="P14" s="7">
        <f t="shared" si="6"/>
        <v>244.44444444444446</v>
      </c>
      <c r="Q14" s="6">
        <v>2</v>
      </c>
      <c r="R14" s="7">
        <f t="shared" si="7"/>
        <v>371.42857142857144</v>
      </c>
      <c r="S14" s="6">
        <v>3</v>
      </c>
      <c r="T14" s="7">
        <f t="shared" si="8"/>
        <v>362.5</v>
      </c>
      <c r="U14" s="8">
        <f t="shared" si="9"/>
        <v>1744.8638382461913</v>
      </c>
      <c r="V14" s="6">
        <f t="shared" si="10"/>
        <v>4</v>
      </c>
      <c r="W14" s="6">
        <f t="shared" si="11"/>
        <v>5</v>
      </c>
      <c r="X14" s="16">
        <f t="shared" si="12"/>
        <v>0.625</v>
      </c>
    </row>
    <row r="15" spans="1:24" x14ac:dyDescent="0.3">
      <c r="A15" s="5">
        <f t="shared" si="0"/>
        <v>5</v>
      </c>
      <c r="B15" s="6" t="s">
        <v>371</v>
      </c>
      <c r="C15" s="6" t="s">
        <v>372</v>
      </c>
      <c r="D15" s="6" t="s">
        <v>243</v>
      </c>
      <c r="E15" s="6"/>
      <c r="F15" s="7">
        <f t="shared" si="1"/>
        <v>0</v>
      </c>
      <c r="G15" s="6">
        <v>17</v>
      </c>
      <c r="H15" s="7">
        <f t="shared" si="2"/>
        <v>150</v>
      </c>
      <c r="I15" s="6">
        <v>3</v>
      </c>
      <c r="J15" s="7">
        <f t="shared" si="3"/>
        <v>259.09090909090907</v>
      </c>
      <c r="K15" s="6">
        <v>14</v>
      </c>
      <c r="L15" s="7">
        <f t="shared" si="4"/>
        <v>172.72727272727272</v>
      </c>
      <c r="M15" s="6">
        <v>3</v>
      </c>
      <c r="N15" s="7">
        <f t="shared" si="5"/>
        <v>275.67567567567568</v>
      </c>
      <c r="O15" s="6">
        <v>6</v>
      </c>
      <c r="P15" s="7">
        <f t="shared" si="6"/>
        <v>233.33333333333334</v>
      </c>
      <c r="Q15" s="6">
        <v>9</v>
      </c>
      <c r="R15" s="7">
        <f t="shared" si="7"/>
        <v>271.42857142857144</v>
      </c>
      <c r="S15" s="6">
        <v>6</v>
      </c>
      <c r="T15" s="7">
        <f t="shared" si="8"/>
        <v>325</v>
      </c>
      <c r="U15" s="8">
        <f t="shared" si="9"/>
        <v>1687.255762255762</v>
      </c>
      <c r="V15" s="6">
        <f t="shared" si="10"/>
        <v>5</v>
      </c>
      <c r="W15" s="6">
        <f t="shared" si="11"/>
        <v>6</v>
      </c>
      <c r="X15" s="16">
        <f t="shared" si="12"/>
        <v>0.75</v>
      </c>
    </row>
    <row r="16" spans="1:24" x14ac:dyDescent="0.3">
      <c r="A16" s="5">
        <f t="shared" si="0"/>
        <v>6</v>
      </c>
      <c r="B16" s="6" t="s">
        <v>377</v>
      </c>
      <c r="C16" s="6" t="s">
        <v>203</v>
      </c>
      <c r="D16" s="6" t="s">
        <v>243</v>
      </c>
      <c r="E16" s="6"/>
      <c r="F16" s="7">
        <f t="shared" si="1"/>
        <v>0</v>
      </c>
      <c r="G16" s="6"/>
      <c r="H16" s="7">
        <f t="shared" si="2"/>
        <v>0</v>
      </c>
      <c r="I16" s="6">
        <v>2</v>
      </c>
      <c r="J16" s="7">
        <f t="shared" si="3"/>
        <v>272.72727272727275</v>
      </c>
      <c r="K16" s="6">
        <v>13</v>
      </c>
      <c r="L16" s="7">
        <f t="shared" si="4"/>
        <v>181.81818181818181</v>
      </c>
      <c r="M16" s="6">
        <v>5</v>
      </c>
      <c r="N16" s="7">
        <f t="shared" si="5"/>
        <v>259.45945945945948</v>
      </c>
      <c r="O16" s="6">
        <v>1</v>
      </c>
      <c r="P16" s="7">
        <f t="shared" si="6"/>
        <v>288.88888888888891</v>
      </c>
      <c r="Q16" s="6">
        <v>3</v>
      </c>
      <c r="R16" s="7">
        <f t="shared" si="7"/>
        <v>357.14285714285717</v>
      </c>
      <c r="S16" s="6">
        <v>7</v>
      </c>
      <c r="T16" s="7">
        <f t="shared" si="8"/>
        <v>312.5</v>
      </c>
      <c r="U16" s="8">
        <f t="shared" si="9"/>
        <v>1672.5366600366601</v>
      </c>
      <c r="V16" s="6">
        <f t="shared" si="10"/>
        <v>6</v>
      </c>
      <c r="W16" s="6">
        <f t="shared" si="11"/>
        <v>5</v>
      </c>
      <c r="X16" s="16">
        <f t="shared" si="12"/>
        <v>0.625</v>
      </c>
    </row>
    <row r="17" spans="1:24" x14ac:dyDescent="0.3">
      <c r="A17" s="5">
        <f t="shared" si="0"/>
        <v>7</v>
      </c>
      <c r="B17" s="6" t="s">
        <v>230</v>
      </c>
      <c r="C17" s="6" t="s">
        <v>385</v>
      </c>
      <c r="D17" s="6" t="s">
        <v>243</v>
      </c>
      <c r="E17" s="6"/>
      <c r="F17" s="7">
        <f t="shared" si="1"/>
        <v>0</v>
      </c>
      <c r="G17" s="6"/>
      <c r="H17" s="7">
        <f t="shared" si="2"/>
        <v>0</v>
      </c>
      <c r="I17" s="6">
        <v>11</v>
      </c>
      <c r="J17" s="7">
        <f t="shared" si="3"/>
        <v>150</v>
      </c>
      <c r="K17" s="6">
        <v>4</v>
      </c>
      <c r="L17" s="7">
        <f t="shared" si="4"/>
        <v>263.63636363636363</v>
      </c>
      <c r="M17" s="6">
        <v>7</v>
      </c>
      <c r="N17" s="7">
        <f t="shared" si="5"/>
        <v>243.24324324324326</v>
      </c>
      <c r="O17" s="6"/>
      <c r="P17" s="7">
        <f t="shared" si="6"/>
        <v>0</v>
      </c>
      <c r="Q17" s="6">
        <v>12</v>
      </c>
      <c r="R17" s="7">
        <f t="shared" si="7"/>
        <v>228.57142857142858</v>
      </c>
      <c r="S17" s="6">
        <v>2</v>
      </c>
      <c r="T17" s="7">
        <f t="shared" si="8"/>
        <v>375</v>
      </c>
      <c r="U17" s="8">
        <f t="shared" si="9"/>
        <v>1260.4510354510353</v>
      </c>
      <c r="V17" s="6">
        <f t="shared" si="10"/>
        <v>7</v>
      </c>
      <c r="W17" s="6">
        <f t="shared" si="11"/>
        <v>4</v>
      </c>
      <c r="X17" s="16">
        <f t="shared" si="12"/>
        <v>0.5</v>
      </c>
    </row>
    <row r="18" spans="1:24" x14ac:dyDescent="0.3">
      <c r="A18" s="5">
        <f t="shared" si="0"/>
        <v>8</v>
      </c>
      <c r="B18" s="6" t="s">
        <v>369</v>
      </c>
      <c r="C18" s="6" t="s">
        <v>376</v>
      </c>
      <c r="D18" s="6" t="s">
        <v>243</v>
      </c>
      <c r="E18" s="6"/>
      <c r="F18" s="7">
        <f t="shared" si="1"/>
        <v>0</v>
      </c>
      <c r="G18" s="6">
        <v>12</v>
      </c>
      <c r="H18" s="7">
        <f t="shared" si="2"/>
        <v>194.11764705882354</v>
      </c>
      <c r="I18" s="6">
        <v>5</v>
      </c>
      <c r="J18" s="7">
        <f t="shared" si="3"/>
        <v>231.81818181818181</v>
      </c>
      <c r="K18" s="6"/>
      <c r="L18" s="7">
        <f t="shared" si="4"/>
        <v>0</v>
      </c>
      <c r="M18" s="6">
        <v>19</v>
      </c>
      <c r="N18" s="7">
        <f t="shared" si="5"/>
        <v>145.94594594594594</v>
      </c>
      <c r="O18" s="6">
        <v>9</v>
      </c>
      <c r="P18" s="7">
        <f t="shared" si="6"/>
        <v>200</v>
      </c>
      <c r="Q18" s="6">
        <v>13</v>
      </c>
      <c r="R18" s="7">
        <f t="shared" si="7"/>
        <v>214.28571428571428</v>
      </c>
      <c r="S18" s="6">
        <v>25</v>
      </c>
      <c r="T18" s="7">
        <f t="shared" si="8"/>
        <v>87.5</v>
      </c>
      <c r="U18" s="8">
        <f t="shared" si="9"/>
        <v>1073.6674891086654</v>
      </c>
      <c r="V18" s="6">
        <f t="shared" si="10"/>
        <v>8</v>
      </c>
      <c r="W18" s="6">
        <f t="shared" si="11"/>
        <v>6</v>
      </c>
      <c r="X18" s="16">
        <f t="shared" si="12"/>
        <v>0.75</v>
      </c>
    </row>
    <row r="19" spans="1:24" x14ac:dyDescent="0.3">
      <c r="A19" s="5">
        <f t="shared" si="0"/>
        <v>9</v>
      </c>
      <c r="B19" s="6" t="s">
        <v>378</v>
      </c>
      <c r="C19" s="6" t="s">
        <v>292</v>
      </c>
      <c r="D19" s="6" t="s">
        <v>164</v>
      </c>
      <c r="E19" s="6"/>
      <c r="F19" s="7">
        <f t="shared" si="1"/>
        <v>0</v>
      </c>
      <c r="G19" s="6"/>
      <c r="H19" s="7">
        <f t="shared" si="2"/>
        <v>0</v>
      </c>
      <c r="I19" s="6">
        <v>6</v>
      </c>
      <c r="J19" s="7">
        <f t="shared" si="3"/>
        <v>218.18181818181819</v>
      </c>
      <c r="K19" s="6"/>
      <c r="L19" s="7">
        <f t="shared" si="4"/>
        <v>0</v>
      </c>
      <c r="M19" s="6">
        <v>6</v>
      </c>
      <c r="N19" s="7">
        <f t="shared" si="5"/>
        <v>251.35135135135135</v>
      </c>
      <c r="O19" s="6">
        <v>8</v>
      </c>
      <c r="P19" s="7">
        <f t="shared" si="6"/>
        <v>211.11111111111111</v>
      </c>
      <c r="Q19" s="6">
        <v>11</v>
      </c>
      <c r="R19" s="7">
        <f t="shared" si="7"/>
        <v>242.85714285714286</v>
      </c>
      <c r="S19" s="6">
        <v>22</v>
      </c>
      <c r="T19" s="7">
        <f t="shared" si="8"/>
        <v>125</v>
      </c>
      <c r="U19" s="8">
        <f t="shared" si="9"/>
        <v>1048.5014235014237</v>
      </c>
      <c r="V19" s="6">
        <f t="shared" si="10"/>
        <v>9</v>
      </c>
      <c r="W19" s="6">
        <f t="shared" si="11"/>
        <v>5</v>
      </c>
      <c r="X19" s="16">
        <f t="shared" si="12"/>
        <v>0.625</v>
      </c>
    </row>
    <row r="20" spans="1:24" x14ac:dyDescent="0.3">
      <c r="A20" s="5">
        <f t="shared" si="0"/>
        <v>10</v>
      </c>
      <c r="B20" s="6" t="s">
        <v>370</v>
      </c>
      <c r="C20" s="6" t="s">
        <v>366</v>
      </c>
      <c r="D20" s="6" t="s">
        <v>243</v>
      </c>
      <c r="E20" s="6"/>
      <c r="F20" s="7">
        <f t="shared" si="1"/>
        <v>0</v>
      </c>
      <c r="G20" s="6">
        <v>13</v>
      </c>
      <c r="H20" s="7">
        <f t="shared" si="2"/>
        <v>185.29411764705881</v>
      </c>
      <c r="I20" s="6"/>
      <c r="J20" s="7">
        <f t="shared" si="3"/>
        <v>0</v>
      </c>
      <c r="K20" s="6">
        <v>17</v>
      </c>
      <c r="L20" s="7">
        <f t="shared" si="4"/>
        <v>145.45454545454547</v>
      </c>
      <c r="M20" s="6"/>
      <c r="N20" s="7">
        <f t="shared" si="5"/>
        <v>0</v>
      </c>
      <c r="O20" s="6"/>
      <c r="P20" s="7">
        <f t="shared" si="6"/>
        <v>0</v>
      </c>
      <c r="Q20" s="6">
        <v>3</v>
      </c>
      <c r="R20" s="7">
        <f t="shared" si="7"/>
        <v>357.14285714285717</v>
      </c>
      <c r="S20" s="6">
        <v>12</v>
      </c>
      <c r="T20" s="7">
        <f t="shared" si="8"/>
        <v>250</v>
      </c>
      <c r="U20" s="8">
        <f t="shared" si="9"/>
        <v>937.89152024446139</v>
      </c>
      <c r="V20" s="6">
        <f t="shared" si="10"/>
        <v>10</v>
      </c>
      <c r="W20" s="6">
        <f t="shared" si="11"/>
        <v>3</v>
      </c>
      <c r="X20" s="16">
        <f t="shared" si="12"/>
        <v>0.375</v>
      </c>
    </row>
    <row r="21" spans="1:24" x14ac:dyDescent="0.3">
      <c r="A21" s="5">
        <f t="shared" si="0"/>
        <v>11</v>
      </c>
      <c r="B21" s="6" t="s">
        <v>392</v>
      </c>
      <c r="C21" s="6" t="s">
        <v>393</v>
      </c>
      <c r="D21" s="6" t="s">
        <v>243</v>
      </c>
      <c r="E21" s="6"/>
      <c r="F21" s="7">
        <f t="shared" si="1"/>
        <v>0</v>
      </c>
      <c r="G21" s="6"/>
      <c r="H21" s="7">
        <f t="shared" si="2"/>
        <v>0</v>
      </c>
      <c r="I21" s="6">
        <v>15</v>
      </c>
      <c r="J21" s="7">
        <f t="shared" si="3"/>
        <v>95.454545454545453</v>
      </c>
      <c r="K21" s="6">
        <v>6</v>
      </c>
      <c r="L21" s="7">
        <f t="shared" si="4"/>
        <v>245.45454545454547</v>
      </c>
      <c r="M21" s="6">
        <v>21</v>
      </c>
      <c r="N21" s="7">
        <f t="shared" si="5"/>
        <v>129.72972972972974</v>
      </c>
      <c r="O21" s="6">
        <v>13</v>
      </c>
      <c r="P21" s="7">
        <f t="shared" si="6"/>
        <v>155.55555555555554</v>
      </c>
      <c r="Q21" s="6">
        <v>7</v>
      </c>
      <c r="R21" s="7">
        <f t="shared" si="7"/>
        <v>300</v>
      </c>
      <c r="S21" s="6"/>
      <c r="T21" s="7">
        <f t="shared" si="8"/>
        <v>0</v>
      </c>
      <c r="U21" s="8">
        <f t="shared" si="9"/>
        <v>926.19437619437622</v>
      </c>
      <c r="V21" s="6">
        <f t="shared" si="10"/>
        <v>11</v>
      </c>
      <c r="W21" s="6">
        <f t="shared" si="11"/>
        <v>4</v>
      </c>
      <c r="X21" s="16">
        <f t="shared" si="12"/>
        <v>0.5</v>
      </c>
    </row>
    <row r="22" spans="1:24" x14ac:dyDescent="0.3">
      <c r="A22" s="5">
        <f t="shared" si="0"/>
        <v>12</v>
      </c>
      <c r="B22" s="6" t="s">
        <v>640</v>
      </c>
      <c r="C22" s="6" t="s">
        <v>268</v>
      </c>
      <c r="D22" s="6" t="s">
        <v>243</v>
      </c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>
        <v>12</v>
      </c>
      <c r="N22" s="7">
        <f t="shared" si="5"/>
        <v>202.70270270270271</v>
      </c>
      <c r="O22" s="6">
        <v>3</v>
      </c>
      <c r="P22" s="7">
        <f t="shared" si="6"/>
        <v>266.66666666666669</v>
      </c>
      <c r="Q22" s="6">
        <v>10</v>
      </c>
      <c r="R22" s="7">
        <f t="shared" si="7"/>
        <v>257.14285714285717</v>
      </c>
      <c r="S22" s="6">
        <v>23</v>
      </c>
      <c r="T22" s="7">
        <f t="shared" si="8"/>
        <v>112.5</v>
      </c>
      <c r="U22" s="8">
        <f t="shared" si="9"/>
        <v>839.01222651222656</v>
      </c>
      <c r="V22" s="6">
        <f t="shared" si="10"/>
        <v>12</v>
      </c>
      <c r="W22" s="6">
        <f t="shared" si="11"/>
        <v>4</v>
      </c>
      <c r="X22" s="16">
        <f t="shared" si="12"/>
        <v>0.5</v>
      </c>
    </row>
    <row r="23" spans="1:24" x14ac:dyDescent="0.3">
      <c r="A23" s="5">
        <f t="shared" si="0"/>
        <v>13</v>
      </c>
      <c r="B23" s="6" t="s">
        <v>388</v>
      </c>
      <c r="C23" s="6" t="s">
        <v>389</v>
      </c>
      <c r="D23" s="6" t="s">
        <v>243</v>
      </c>
      <c r="E23" s="6"/>
      <c r="F23" s="7">
        <f t="shared" si="1"/>
        <v>0</v>
      </c>
      <c r="G23" s="6"/>
      <c r="H23" s="7">
        <f t="shared" si="2"/>
        <v>0</v>
      </c>
      <c r="I23" s="6">
        <v>13</v>
      </c>
      <c r="J23" s="7">
        <f t="shared" si="3"/>
        <v>122.72727272727273</v>
      </c>
      <c r="K23" s="6">
        <v>21</v>
      </c>
      <c r="L23" s="7">
        <f t="shared" si="4"/>
        <v>109.09090909090909</v>
      </c>
      <c r="M23" s="6"/>
      <c r="N23" s="7">
        <f t="shared" si="5"/>
        <v>0</v>
      </c>
      <c r="O23" s="6"/>
      <c r="P23" s="7">
        <f t="shared" si="6"/>
        <v>0</v>
      </c>
      <c r="Q23" s="6">
        <v>15</v>
      </c>
      <c r="R23" s="7">
        <f t="shared" si="7"/>
        <v>185.71428571428572</v>
      </c>
      <c r="S23" s="6">
        <v>17</v>
      </c>
      <c r="T23" s="7">
        <f t="shared" si="8"/>
        <v>187.5</v>
      </c>
      <c r="U23" s="8">
        <f t="shared" si="9"/>
        <v>605.03246753246754</v>
      </c>
      <c r="V23" s="6">
        <f t="shared" si="10"/>
        <v>13</v>
      </c>
      <c r="W23" s="6">
        <f t="shared" si="11"/>
        <v>3</v>
      </c>
      <c r="X23" s="16">
        <f t="shared" si="12"/>
        <v>0.375</v>
      </c>
    </row>
    <row r="24" spans="1:24" x14ac:dyDescent="0.3">
      <c r="A24" s="5">
        <f t="shared" si="0"/>
        <v>14</v>
      </c>
      <c r="B24" s="6" t="s">
        <v>390</v>
      </c>
      <c r="C24" s="6" t="s">
        <v>391</v>
      </c>
      <c r="D24" s="6" t="s">
        <v>243</v>
      </c>
      <c r="E24" s="6"/>
      <c r="F24" s="7">
        <f t="shared" si="1"/>
        <v>0</v>
      </c>
      <c r="G24" s="6"/>
      <c r="H24" s="7">
        <f t="shared" si="2"/>
        <v>0</v>
      </c>
      <c r="I24" s="6">
        <v>14</v>
      </c>
      <c r="J24" s="7">
        <f t="shared" si="3"/>
        <v>109.09090909090909</v>
      </c>
      <c r="K24" s="6"/>
      <c r="L24" s="7">
        <f t="shared" si="4"/>
        <v>0</v>
      </c>
      <c r="M24" s="6">
        <v>29</v>
      </c>
      <c r="N24" s="7">
        <f t="shared" si="5"/>
        <v>64.86486486486487</v>
      </c>
      <c r="O24" s="6">
        <v>11</v>
      </c>
      <c r="P24" s="7">
        <f t="shared" si="6"/>
        <v>177.77777777777777</v>
      </c>
      <c r="Q24" s="6">
        <v>20</v>
      </c>
      <c r="R24" s="7">
        <f t="shared" si="7"/>
        <v>114.28571428571429</v>
      </c>
      <c r="S24" s="6"/>
      <c r="T24" s="7">
        <f t="shared" si="8"/>
        <v>0</v>
      </c>
      <c r="U24" s="8">
        <f t="shared" si="9"/>
        <v>466.01926601926601</v>
      </c>
      <c r="V24" s="6">
        <f t="shared" si="10"/>
        <v>14</v>
      </c>
      <c r="W24" s="6">
        <f t="shared" si="11"/>
        <v>4</v>
      </c>
      <c r="X24" s="16">
        <f t="shared" si="12"/>
        <v>0.5</v>
      </c>
    </row>
    <row r="25" spans="1:24" x14ac:dyDescent="0.3">
      <c r="A25" s="5">
        <f t="shared" si="0"/>
        <v>15</v>
      </c>
      <c r="B25" s="6" t="s">
        <v>394</v>
      </c>
      <c r="C25" s="6" t="s">
        <v>395</v>
      </c>
      <c r="D25" s="6" t="s">
        <v>243</v>
      </c>
      <c r="E25" s="6"/>
      <c r="F25" s="7">
        <f t="shared" si="1"/>
        <v>0</v>
      </c>
      <c r="G25" s="6"/>
      <c r="H25" s="7">
        <f t="shared" si="2"/>
        <v>0</v>
      </c>
      <c r="I25" s="6">
        <v>16</v>
      </c>
      <c r="J25" s="7">
        <f t="shared" si="3"/>
        <v>81.818181818181813</v>
      </c>
      <c r="K25" s="6"/>
      <c r="L25" s="7">
        <f t="shared" si="4"/>
        <v>0</v>
      </c>
      <c r="M25" s="6">
        <v>26</v>
      </c>
      <c r="N25" s="7">
        <f t="shared" si="5"/>
        <v>89.189189189189193</v>
      </c>
      <c r="O25" s="6"/>
      <c r="P25" s="7">
        <f t="shared" si="6"/>
        <v>0</v>
      </c>
      <c r="Q25" s="6">
        <v>8</v>
      </c>
      <c r="R25" s="7">
        <f t="shared" si="7"/>
        <v>285.71428571428572</v>
      </c>
      <c r="S25" s="6"/>
      <c r="T25" s="7">
        <f t="shared" si="8"/>
        <v>0</v>
      </c>
      <c r="U25" s="8">
        <f t="shared" si="9"/>
        <v>456.7216567216567</v>
      </c>
      <c r="V25" s="6">
        <f t="shared" si="10"/>
        <v>15</v>
      </c>
      <c r="W25" s="6">
        <f t="shared" si="11"/>
        <v>3</v>
      </c>
      <c r="X25" s="16">
        <f t="shared" si="12"/>
        <v>0.375</v>
      </c>
    </row>
    <row r="26" spans="1:24" x14ac:dyDescent="0.3">
      <c r="A26" s="5">
        <f t="shared" si="0"/>
        <v>16</v>
      </c>
      <c r="B26" s="6" t="s">
        <v>291</v>
      </c>
      <c r="C26" s="6" t="s">
        <v>292</v>
      </c>
      <c r="D26" s="6" t="s">
        <v>131</v>
      </c>
      <c r="E26" s="6">
        <v>13</v>
      </c>
      <c r="F26" s="7">
        <f t="shared" si="1"/>
        <v>155.55555555555554</v>
      </c>
      <c r="G26" s="6">
        <v>31</v>
      </c>
      <c r="H26" s="7">
        <f t="shared" si="2"/>
        <v>26.470588235294116</v>
      </c>
      <c r="I26" s="6">
        <v>17</v>
      </c>
      <c r="J26" s="7">
        <f t="shared" si="3"/>
        <v>68.181818181818187</v>
      </c>
      <c r="K26" s="6"/>
      <c r="L26" s="7">
        <f t="shared" si="4"/>
        <v>0</v>
      </c>
      <c r="M26" s="6">
        <v>36</v>
      </c>
      <c r="N26" s="7">
        <f t="shared" si="5"/>
        <v>8.1081081081081088</v>
      </c>
      <c r="O26" s="6">
        <v>24</v>
      </c>
      <c r="P26" s="7">
        <f t="shared" si="6"/>
        <v>33.333333333333336</v>
      </c>
      <c r="Q26" s="6">
        <v>17</v>
      </c>
      <c r="R26" s="7">
        <f t="shared" si="7"/>
        <v>157.14285714285714</v>
      </c>
      <c r="S26" s="6"/>
      <c r="T26" s="7">
        <f t="shared" si="8"/>
        <v>0</v>
      </c>
      <c r="U26" s="8">
        <f t="shared" si="9"/>
        <v>448.79226055696643</v>
      </c>
      <c r="V26" s="6">
        <f t="shared" si="10"/>
        <v>16</v>
      </c>
      <c r="W26" s="6">
        <f t="shared" si="11"/>
        <v>6</v>
      </c>
      <c r="X26" s="16">
        <f t="shared" si="12"/>
        <v>0.75</v>
      </c>
    </row>
    <row r="27" spans="1:24" x14ac:dyDescent="0.3">
      <c r="A27" s="5">
        <f t="shared" si="0"/>
        <v>17</v>
      </c>
      <c r="B27" s="6" t="s">
        <v>373</v>
      </c>
      <c r="C27" s="30" t="s">
        <v>374</v>
      </c>
      <c r="D27" s="6" t="s">
        <v>243</v>
      </c>
      <c r="E27" s="6"/>
      <c r="F27" s="7">
        <f t="shared" si="1"/>
        <v>0</v>
      </c>
      <c r="G27" s="6">
        <v>27</v>
      </c>
      <c r="H27" s="7">
        <f t="shared" si="2"/>
        <v>61.764705882352942</v>
      </c>
      <c r="I27" s="6">
        <v>19</v>
      </c>
      <c r="J27" s="7">
        <f t="shared" si="3"/>
        <v>40.909090909090907</v>
      </c>
      <c r="K27" s="6">
        <v>26</v>
      </c>
      <c r="L27" s="7">
        <f t="shared" si="4"/>
        <v>63.636363636363633</v>
      </c>
      <c r="M27" s="6">
        <v>23</v>
      </c>
      <c r="N27" s="7">
        <f t="shared" si="5"/>
        <v>113.51351351351352</v>
      </c>
      <c r="O27" s="6">
        <v>20</v>
      </c>
      <c r="P27" s="7">
        <f t="shared" si="6"/>
        <v>77.777777777777771</v>
      </c>
      <c r="Q27" s="6">
        <v>23</v>
      </c>
      <c r="R27" s="7">
        <f t="shared" si="7"/>
        <v>71.428571428571431</v>
      </c>
      <c r="S27" s="6"/>
      <c r="T27" s="7">
        <f t="shared" si="8"/>
        <v>0</v>
      </c>
      <c r="U27" s="8">
        <f t="shared" si="9"/>
        <v>429.03002314767019</v>
      </c>
      <c r="V27" s="6">
        <f t="shared" si="10"/>
        <v>17</v>
      </c>
      <c r="W27" s="6">
        <f t="shared" si="11"/>
        <v>5</v>
      </c>
      <c r="X27" s="16">
        <f t="shared" si="12"/>
        <v>0.625</v>
      </c>
    </row>
    <row r="28" spans="1:24" x14ac:dyDescent="0.3">
      <c r="A28" s="5">
        <f t="shared" si="0"/>
        <v>18</v>
      </c>
      <c r="B28" s="6" t="s">
        <v>399</v>
      </c>
      <c r="C28" s="6" t="s">
        <v>674</v>
      </c>
      <c r="D28" s="6" t="s">
        <v>243</v>
      </c>
      <c r="E28" s="6"/>
      <c r="F28" s="7">
        <f t="shared" si="1"/>
        <v>0</v>
      </c>
      <c r="G28" s="6"/>
      <c r="H28" s="7">
        <f t="shared" si="2"/>
        <v>0</v>
      </c>
      <c r="I28" s="6">
        <v>20</v>
      </c>
      <c r="J28" s="7">
        <f t="shared" si="3"/>
        <v>27.272727272727273</v>
      </c>
      <c r="K28" s="6"/>
      <c r="L28" s="7">
        <f t="shared" si="4"/>
        <v>0</v>
      </c>
      <c r="M28" s="6">
        <v>22</v>
      </c>
      <c r="N28" s="7">
        <f t="shared" si="5"/>
        <v>121.62162162162163</v>
      </c>
      <c r="O28" s="6">
        <v>7</v>
      </c>
      <c r="P28" s="7">
        <f t="shared" si="6"/>
        <v>222.22222222222223</v>
      </c>
      <c r="Q28" s="6">
        <v>24</v>
      </c>
      <c r="R28" s="7">
        <f t="shared" si="7"/>
        <v>57.142857142857146</v>
      </c>
      <c r="S28" s="6"/>
      <c r="T28" s="7">
        <f t="shared" si="8"/>
        <v>0</v>
      </c>
      <c r="U28" s="8">
        <f t="shared" si="9"/>
        <v>428.25942825942826</v>
      </c>
      <c r="V28" s="6">
        <f t="shared" si="10"/>
        <v>18</v>
      </c>
      <c r="W28" s="6">
        <f t="shared" si="11"/>
        <v>4</v>
      </c>
      <c r="X28" s="16">
        <f t="shared" si="12"/>
        <v>0.5</v>
      </c>
    </row>
    <row r="29" spans="1:24" x14ac:dyDescent="0.3">
      <c r="A29" s="5">
        <f t="shared" si="0"/>
        <v>19</v>
      </c>
      <c r="B29" s="6" t="s">
        <v>293</v>
      </c>
      <c r="C29" s="6" t="s">
        <v>294</v>
      </c>
      <c r="D29" s="6" t="s">
        <v>295</v>
      </c>
      <c r="E29" s="6">
        <v>22</v>
      </c>
      <c r="F29" s="7">
        <f t="shared" si="1"/>
        <v>55.555555555555557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4"/>
        <v>0</v>
      </c>
      <c r="M29" s="6">
        <v>34</v>
      </c>
      <c r="N29" s="7">
        <f t="shared" si="5"/>
        <v>24.324324324324323</v>
      </c>
      <c r="O29" s="6">
        <v>14</v>
      </c>
      <c r="P29" s="7">
        <f t="shared" si="6"/>
        <v>144.44444444444446</v>
      </c>
      <c r="Q29" s="6">
        <v>16</v>
      </c>
      <c r="R29" s="7">
        <f t="shared" si="7"/>
        <v>171.42857142857142</v>
      </c>
      <c r="S29" s="6"/>
      <c r="T29" s="7">
        <f t="shared" si="8"/>
        <v>0</v>
      </c>
      <c r="U29" s="8">
        <f t="shared" si="9"/>
        <v>395.75289575289571</v>
      </c>
      <c r="V29" s="6">
        <f t="shared" si="10"/>
        <v>19</v>
      </c>
      <c r="W29" s="6">
        <f t="shared" si="11"/>
        <v>4</v>
      </c>
      <c r="X29" s="16">
        <f t="shared" si="12"/>
        <v>0.5</v>
      </c>
    </row>
    <row r="30" spans="1:24" x14ac:dyDescent="0.3">
      <c r="A30" s="5">
        <f t="shared" si="0"/>
        <v>20</v>
      </c>
      <c r="B30" s="6" t="s">
        <v>386</v>
      </c>
      <c r="C30" s="6" t="s">
        <v>387</v>
      </c>
      <c r="D30" s="6" t="s">
        <v>164</v>
      </c>
      <c r="E30" s="6"/>
      <c r="F30" s="7">
        <f t="shared" si="1"/>
        <v>0</v>
      </c>
      <c r="G30" s="6"/>
      <c r="H30" s="7">
        <f t="shared" si="2"/>
        <v>0</v>
      </c>
      <c r="I30" s="6">
        <v>12</v>
      </c>
      <c r="J30" s="7">
        <f t="shared" si="3"/>
        <v>136.36363636363637</v>
      </c>
      <c r="K30" s="6"/>
      <c r="L30" s="7">
        <f t="shared" si="4"/>
        <v>0</v>
      </c>
      <c r="M30" s="6">
        <v>10</v>
      </c>
      <c r="N30" s="7">
        <f t="shared" si="5"/>
        <v>218.91891891891891</v>
      </c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8">
        <f t="shared" si="9"/>
        <v>355.28255528255528</v>
      </c>
      <c r="V30" s="6">
        <f t="shared" si="10"/>
        <v>20</v>
      </c>
      <c r="W30" s="6">
        <f t="shared" si="11"/>
        <v>2</v>
      </c>
      <c r="X30" s="16">
        <f t="shared" si="12"/>
        <v>0.25</v>
      </c>
    </row>
    <row r="31" spans="1:24" x14ac:dyDescent="0.3">
      <c r="A31" s="5">
        <f t="shared" si="0"/>
        <v>21</v>
      </c>
      <c r="B31" s="6" t="s">
        <v>379</v>
      </c>
      <c r="C31" s="6" t="s">
        <v>380</v>
      </c>
      <c r="D31" s="6" t="s">
        <v>164</v>
      </c>
      <c r="E31" s="6"/>
      <c r="F31" s="7">
        <f t="shared" si="1"/>
        <v>0</v>
      </c>
      <c r="G31" s="6"/>
      <c r="H31" s="7">
        <f t="shared" si="2"/>
        <v>0</v>
      </c>
      <c r="I31" s="6">
        <v>8</v>
      </c>
      <c r="J31" s="7">
        <f t="shared" si="3"/>
        <v>190.90909090909091</v>
      </c>
      <c r="K31" s="6"/>
      <c r="L31" s="7">
        <f t="shared" si="4"/>
        <v>0</v>
      </c>
      <c r="M31" s="6">
        <v>17</v>
      </c>
      <c r="N31" s="7">
        <f t="shared" si="5"/>
        <v>162.16216216216216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353.07125307125307</v>
      </c>
      <c r="V31" s="6">
        <f t="shared" si="10"/>
        <v>21</v>
      </c>
      <c r="W31" s="6">
        <f t="shared" si="11"/>
        <v>2</v>
      </c>
      <c r="X31" s="16">
        <f t="shared" si="12"/>
        <v>0.25</v>
      </c>
    </row>
    <row r="32" spans="1:24" x14ac:dyDescent="0.3">
      <c r="A32" s="5">
        <f t="shared" si="0"/>
        <v>22</v>
      </c>
      <c r="B32" s="6" t="s">
        <v>651</v>
      </c>
      <c r="C32" s="6" t="s">
        <v>652</v>
      </c>
      <c r="D32" s="6" t="s">
        <v>653</v>
      </c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4"/>
        <v>0</v>
      </c>
      <c r="M32" s="6">
        <v>15</v>
      </c>
      <c r="N32" s="7">
        <f t="shared" si="5"/>
        <v>178.37837837837839</v>
      </c>
      <c r="O32" s="6">
        <v>12</v>
      </c>
      <c r="P32" s="7">
        <f t="shared" si="6"/>
        <v>166.66666666666666</v>
      </c>
      <c r="Q32" s="6"/>
      <c r="R32" s="7">
        <f t="shared" si="7"/>
        <v>0</v>
      </c>
      <c r="S32" s="6"/>
      <c r="T32" s="7">
        <f t="shared" si="8"/>
        <v>0</v>
      </c>
      <c r="U32" s="8">
        <f t="shared" si="9"/>
        <v>345.04504504504507</v>
      </c>
      <c r="V32" s="6">
        <f t="shared" si="10"/>
        <v>22</v>
      </c>
      <c r="W32" s="6">
        <f t="shared" si="11"/>
        <v>2</v>
      </c>
      <c r="X32" s="16">
        <f t="shared" si="12"/>
        <v>0.25</v>
      </c>
    </row>
    <row r="33" spans="1:24" x14ac:dyDescent="0.3">
      <c r="A33" s="6">
        <f t="shared" si="0"/>
        <v>23</v>
      </c>
      <c r="B33" s="6" t="s">
        <v>381</v>
      </c>
      <c r="C33" s="6" t="s">
        <v>382</v>
      </c>
      <c r="D33" s="6" t="s">
        <v>243</v>
      </c>
      <c r="E33" s="6"/>
      <c r="F33" s="7">
        <f t="shared" si="1"/>
        <v>0</v>
      </c>
      <c r="G33" s="6"/>
      <c r="H33" s="7">
        <f t="shared" si="2"/>
        <v>0</v>
      </c>
      <c r="I33" s="6">
        <v>9</v>
      </c>
      <c r="J33" s="7">
        <f t="shared" si="3"/>
        <v>177.27272727272728</v>
      </c>
      <c r="K33" s="6"/>
      <c r="L33" s="7">
        <f t="shared" si="4"/>
        <v>0</v>
      </c>
      <c r="M33" s="6"/>
      <c r="N33" s="7">
        <f t="shared" si="5"/>
        <v>0</v>
      </c>
      <c r="O33" s="6"/>
      <c r="P33" s="7">
        <f t="shared" si="6"/>
        <v>0</v>
      </c>
      <c r="Q33" s="6">
        <v>18</v>
      </c>
      <c r="R33" s="7">
        <f t="shared" si="7"/>
        <v>142.85714285714286</v>
      </c>
      <c r="S33" s="6"/>
      <c r="T33" s="7">
        <f t="shared" si="8"/>
        <v>0</v>
      </c>
      <c r="U33" s="8">
        <f t="shared" si="9"/>
        <v>320.12987012987014</v>
      </c>
      <c r="V33" s="6">
        <f t="shared" si="10"/>
        <v>23</v>
      </c>
      <c r="W33" s="6">
        <f t="shared" si="11"/>
        <v>2</v>
      </c>
      <c r="X33" s="16">
        <f t="shared" si="12"/>
        <v>0.25</v>
      </c>
    </row>
    <row r="34" spans="1:24" x14ac:dyDescent="0.3">
      <c r="A34" s="5"/>
      <c r="B34" s="6"/>
      <c r="C34" s="6"/>
      <c r="D34" s="6" t="s">
        <v>243</v>
      </c>
      <c r="E34" s="6"/>
      <c r="F34" s="7"/>
      <c r="G34" s="6"/>
      <c r="H34" s="7"/>
      <c r="I34" s="6"/>
      <c r="J34" s="7"/>
      <c r="K34" s="6"/>
      <c r="L34" s="7"/>
      <c r="M34" s="6"/>
      <c r="N34" s="7"/>
      <c r="O34" s="6"/>
      <c r="P34" s="7"/>
      <c r="Q34" s="6">
        <v>9</v>
      </c>
      <c r="R34" s="7">
        <f t="shared" si="7"/>
        <v>271.42857142857144</v>
      </c>
      <c r="S34" s="6"/>
      <c r="T34" s="7">
        <f t="shared" si="8"/>
        <v>0</v>
      </c>
      <c r="U34" s="8">
        <f t="shared" si="9"/>
        <v>271.42857142857144</v>
      </c>
      <c r="V34" s="6">
        <f t="shared" si="10"/>
        <v>24</v>
      </c>
      <c r="W34" s="6">
        <f t="shared" si="11"/>
        <v>1</v>
      </c>
      <c r="X34" s="16">
        <f t="shared" si="12"/>
        <v>0.125</v>
      </c>
    </row>
    <row r="35" spans="1:24" x14ac:dyDescent="0.3">
      <c r="A35" s="5">
        <v>24</v>
      </c>
      <c r="B35" s="6" t="s">
        <v>157</v>
      </c>
      <c r="C35" s="6" t="s">
        <v>481</v>
      </c>
      <c r="D35" s="6" t="s">
        <v>243</v>
      </c>
      <c r="E35" s="6"/>
      <c r="F35" s="7">
        <f>IF(E35=0,,($E$9-E35)*$E$7*100/$E$9)</f>
        <v>0</v>
      </c>
      <c r="G35" s="6"/>
      <c r="H35" s="7">
        <f>IF(G35=0,,($G$9-G35)*$G$7*100/$G$9)</f>
        <v>0</v>
      </c>
      <c r="I35" s="6"/>
      <c r="J35" s="7">
        <f>IF(I35=0,,($I$9-I35)*$I$7*100/$I$9)</f>
        <v>0</v>
      </c>
      <c r="K35" s="6">
        <v>30</v>
      </c>
      <c r="L35" s="7">
        <f>IF(K35=0,,($K$9-K35)*$K$7*100/$K$9)</f>
        <v>27.272727272727273</v>
      </c>
      <c r="M35" s="6">
        <v>20</v>
      </c>
      <c r="N35" s="7">
        <f>IF(M35=0,,($M$9-M35)*$M$7*100/$M$9)</f>
        <v>137.83783783783784</v>
      </c>
      <c r="O35" s="6"/>
      <c r="P35" s="7">
        <f>IF(O35=0,,($O$9-O35)*$O$7*100/$O$9)</f>
        <v>0</v>
      </c>
      <c r="Q35" s="6">
        <v>25</v>
      </c>
      <c r="R35" s="7">
        <f t="shared" si="7"/>
        <v>42.857142857142854</v>
      </c>
      <c r="S35" s="6"/>
      <c r="T35" s="7">
        <f t="shared" si="8"/>
        <v>0</v>
      </c>
      <c r="U35" s="8">
        <f t="shared" si="9"/>
        <v>207.96770796770798</v>
      </c>
      <c r="V35" s="6">
        <f t="shared" si="10"/>
        <v>25</v>
      </c>
      <c r="W35" s="6">
        <f t="shared" si="11"/>
        <v>2</v>
      </c>
      <c r="X35" s="16">
        <f t="shared" si="12"/>
        <v>0.25</v>
      </c>
    </row>
    <row r="36" spans="1:24" x14ac:dyDescent="0.3">
      <c r="A36" s="5">
        <v>25</v>
      </c>
      <c r="B36" s="6" t="s">
        <v>383</v>
      </c>
      <c r="C36" s="6" t="s">
        <v>384</v>
      </c>
      <c r="D36" s="6" t="s">
        <v>243</v>
      </c>
      <c r="E36" s="6"/>
      <c r="F36" s="7">
        <f>IF(E36=0,,($E$9-E36)*$E$7*100/$E$9)</f>
        <v>0</v>
      </c>
      <c r="G36" s="6"/>
      <c r="H36" s="7">
        <f>IF(G36=0,,($G$9-G36)*$G$7*100/$G$9)</f>
        <v>0</v>
      </c>
      <c r="I36" s="6">
        <v>10</v>
      </c>
      <c r="J36" s="7">
        <f>IF(I36=0,,($I$9-I36)*$I$7*100/$I$9)</f>
        <v>163.63636363636363</v>
      </c>
      <c r="K36" s="6">
        <v>31</v>
      </c>
      <c r="L36" s="7">
        <f>IF(K36=0,,($K$9-K36)*$K$7*100/$K$9)</f>
        <v>18.181818181818183</v>
      </c>
      <c r="M36" s="6"/>
      <c r="N36" s="7">
        <f>IF(M36=0,,($M$9-M36)*$M$7*100/$M$9)</f>
        <v>0</v>
      </c>
      <c r="O36" s="6">
        <v>25</v>
      </c>
      <c r="P36" s="7">
        <f>IF(O36=0,,($O$9-O36)*$O$7*100/$O$9)</f>
        <v>22.222222222222221</v>
      </c>
      <c r="Q36" s="6"/>
      <c r="R36" s="7">
        <f t="shared" si="7"/>
        <v>0</v>
      </c>
      <c r="S36" s="6"/>
      <c r="T36" s="7">
        <f t="shared" si="8"/>
        <v>0</v>
      </c>
      <c r="U36" s="8">
        <f t="shared" si="9"/>
        <v>204.04040404040404</v>
      </c>
      <c r="V36" s="6">
        <f t="shared" si="10"/>
        <v>26</v>
      </c>
      <c r="W36" s="6">
        <f t="shared" si="11"/>
        <v>2</v>
      </c>
      <c r="X36" s="16">
        <f t="shared" si="12"/>
        <v>0.25</v>
      </c>
    </row>
    <row r="37" spans="1:24" x14ac:dyDescent="0.3">
      <c r="A37" s="5">
        <v>26</v>
      </c>
      <c r="B37" s="6" t="s">
        <v>854</v>
      </c>
      <c r="C37" s="6" t="s">
        <v>855</v>
      </c>
      <c r="D37" s="6" t="s">
        <v>243</v>
      </c>
      <c r="E37" s="6"/>
      <c r="F37" s="7"/>
      <c r="G37" s="6"/>
      <c r="H37" s="7"/>
      <c r="I37" s="6"/>
      <c r="J37" s="7"/>
      <c r="K37" s="6"/>
      <c r="L37" s="7"/>
      <c r="M37" s="6"/>
      <c r="N37" s="7"/>
      <c r="O37" s="6"/>
      <c r="P37" s="7"/>
      <c r="Q37" s="6">
        <v>14</v>
      </c>
      <c r="R37" s="7">
        <f t="shared" si="7"/>
        <v>200</v>
      </c>
      <c r="S37" s="6"/>
      <c r="T37" s="7">
        <f t="shared" si="8"/>
        <v>0</v>
      </c>
      <c r="U37" s="8">
        <f t="shared" si="9"/>
        <v>200</v>
      </c>
      <c r="V37" s="6">
        <f t="shared" si="10"/>
        <v>27</v>
      </c>
      <c r="W37" s="6">
        <f t="shared" si="11"/>
        <v>1</v>
      </c>
      <c r="X37" s="16">
        <f t="shared" si="12"/>
        <v>0.125</v>
      </c>
    </row>
    <row r="38" spans="1:24" x14ac:dyDescent="0.3">
      <c r="A38" s="5">
        <v>27</v>
      </c>
      <c r="B38" s="6" t="s">
        <v>646</v>
      </c>
      <c r="C38" s="6" t="s">
        <v>647</v>
      </c>
      <c r="D38" s="6" t="s">
        <v>278</v>
      </c>
      <c r="E38" s="6"/>
      <c r="F38" s="7">
        <f t="shared" ref="F38:F44" si="13">IF(E38=0,,($E$9-E38)*$E$7*100/$E$9)</f>
        <v>0</v>
      </c>
      <c r="G38" s="6"/>
      <c r="H38" s="7">
        <f t="shared" ref="H38:H44" si="14">IF(G38=0,,($G$9-G38)*$G$7*100/$G$9)</f>
        <v>0</v>
      </c>
      <c r="I38" s="6"/>
      <c r="J38" s="7">
        <f t="shared" ref="J38:J44" si="15">IF(I38=0,,($I$9-I38)*$I$7*100/$I$9)</f>
        <v>0</v>
      </c>
      <c r="K38" s="6"/>
      <c r="L38" s="7">
        <f t="shared" ref="L38:L44" si="16">IF(K38=0,,($K$9-K38)*$K$7*100/$K$9)</f>
        <v>0</v>
      </c>
      <c r="M38" s="6">
        <v>32</v>
      </c>
      <c r="N38" s="7">
        <f t="shared" ref="N38:N44" si="17">IF(M38=0,,($M$9-M38)*$M$7*100/$M$9)</f>
        <v>40.54054054054054</v>
      </c>
      <c r="O38" s="6">
        <v>21</v>
      </c>
      <c r="P38" s="7">
        <f t="shared" ref="P38:P44" si="18">IF(O38=0,,($O$9-O38)*$O$7*100/$O$9)</f>
        <v>66.666666666666671</v>
      </c>
      <c r="Q38" s="6">
        <v>22</v>
      </c>
      <c r="R38" s="7">
        <f t="shared" si="7"/>
        <v>85.714285714285708</v>
      </c>
      <c r="S38" s="6"/>
      <c r="T38" s="7">
        <f t="shared" si="8"/>
        <v>0</v>
      </c>
      <c r="U38" s="8">
        <f t="shared" si="9"/>
        <v>192.92149292149293</v>
      </c>
      <c r="V38" s="6">
        <f t="shared" si="10"/>
        <v>28</v>
      </c>
      <c r="W38" s="6">
        <f t="shared" si="11"/>
        <v>3</v>
      </c>
      <c r="X38" s="16">
        <f t="shared" si="12"/>
        <v>0.375</v>
      </c>
    </row>
    <row r="39" spans="1:24" x14ac:dyDescent="0.3">
      <c r="A39" s="5">
        <v>28</v>
      </c>
      <c r="B39" s="6" t="s">
        <v>672</v>
      </c>
      <c r="C39" s="6" t="s">
        <v>673</v>
      </c>
      <c r="D39" s="6" t="s">
        <v>273</v>
      </c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5"/>
        <v>0</v>
      </c>
      <c r="K39" s="6"/>
      <c r="L39" s="7">
        <f t="shared" si="16"/>
        <v>0</v>
      </c>
      <c r="M39" s="6"/>
      <c r="N39" s="7">
        <f t="shared" si="17"/>
        <v>0</v>
      </c>
      <c r="O39" s="6">
        <v>10</v>
      </c>
      <c r="P39" s="7">
        <f t="shared" si="18"/>
        <v>188.88888888888889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188.88888888888889</v>
      </c>
      <c r="V39" s="6">
        <f t="shared" si="10"/>
        <v>29</v>
      </c>
      <c r="W39" s="6">
        <f t="shared" si="11"/>
        <v>1</v>
      </c>
      <c r="X39" s="16">
        <f t="shared" si="12"/>
        <v>0.125</v>
      </c>
    </row>
    <row r="40" spans="1:24" x14ac:dyDescent="0.3">
      <c r="A40" s="5">
        <v>29</v>
      </c>
      <c r="B40" s="6" t="s">
        <v>643</v>
      </c>
      <c r="C40" s="6" t="s">
        <v>199</v>
      </c>
      <c r="D40" s="6" t="s">
        <v>164</v>
      </c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5"/>
        <v>0</v>
      </c>
      <c r="K40" s="6"/>
      <c r="L40" s="7">
        <f t="shared" si="16"/>
        <v>0</v>
      </c>
      <c r="M40" s="6">
        <v>25</v>
      </c>
      <c r="N40" s="7">
        <f t="shared" si="17"/>
        <v>97.297297297297291</v>
      </c>
      <c r="O40" s="6">
        <v>19</v>
      </c>
      <c r="P40" s="7">
        <f t="shared" si="18"/>
        <v>88.888888888888886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186.18618618618618</v>
      </c>
      <c r="V40" s="6">
        <f t="shared" si="10"/>
        <v>30</v>
      </c>
      <c r="W40" s="6">
        <f t="shared" si="11"/>
        <v>2</v>
      </c>
      <c r="X40" s="16">
        <f t="shared" si="12"/>
        <v>0.25</v>
      </c>
    </row>
    <row r="41" spans="1:24" x14ac:dyDescent="0.3">
      <c r="A41" s="5">
        <v>30</v>
      </c>
      <c r="B41" s="6" t="s">
        <v>644</v>
      </c>
      <c r="C41" s="6" t="s">
        <v>387</v>
      </c>
      <c r="D41" s="30" t="s">
        <v>278</v>
      </c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5"/>
        <v>0</v>
      </c>
      <c r="K41" s="6"/>
      <c r="L41" s="7">
        <f t="shared" si="16"/>
        <v>0</v>
      </c>
      <c r="M41" s="6">
        <v>27</v>
      </c>
      <c r="N41" s="7">
        <f t="shared" si="17"/>
        <v>81.081081081081081</v>
      </c>
      <c r="O41" s="6"/>
      <c r="P41" s="7">
        <f t="shared" si="18"/>
        <v>0</v>
      </c>
      <c r="Q41" s="6">
        <v>21</v>
      </c>
      <c r="R41" s="7">
        <f t="shared" si="7"/>
        <v>100</v>
      </c>
      <c r="S41" s="6"/>
      <c r="T41" s="7">
        <f t="shared" si="8"/>
        <v>0</v>
      </c>
      <c r="U41" s="8">
        <f t="shared" si="9"/>
        <v>181.08108108108109</v>
      </c>
      <c r="V41" s="6">
        <f t="shared" si="10"/>
        <v>31</v>
      </c>
      <c r="W41" s="6">
        <f t="shared" si="11"/>
        <v>2</v>
      </c>
      <c r="X41" s="16">
        <f t="shared" si="12"/>
        <v>0.25</v>
      </c>
    </row>
    <row r="42" spans="1:24" x14ac:dyDescent="0.3">
      <c r="A42" s="5">
        <v>31</v>
      </c>
      <c r="B42" s="6" t="s">
        <v>396</v>
      </c>
      <c r="C42" s="6" t="s">
        <v>397</v>
      </c>
      <c r="D42" s="6" t="s">
        <v>398</v>
      </c>
      <c r="E42" s="6"/>
      <c r="F42" s="7">
        <f t="shared" si="13"/>
        <v>0</v>
      </c>
      <c r="G42" s="6"/>
      <c r="H42" s="7">
        <f t="shared" si="14"/>
        <v>0</v>
      </c>
      <c r="I42" s="6">
        <v>18</v>
      </c>
      <c r="J42" s="7">
        <f t="shared" si="15"/>
        <v>54.545454545454547</v>
      </c>
      <c r="K42" s="6"/>
      <c r="L42" s="7">
        <f t="shared" si="16"/>
        <v>0</v>
      </c>
      <c r="M42" s="6">
        <v>24</v>
      </c>
      <c r="N42" s="7">
        <f t="shared" si="17"/>
        <v>105.4054054054054</v>
      </c>
      <c r="O42" s="6"/>
      <c r="P42" s="7">
        <f t="shared" si="18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159.95085995085995</v>
      </c>
      <c r="V42" s="6">
        <f t="shared" si="10"/>
        <v>32</v>
      </c>
      <c r="W42" s="6">
        <f t="shared" si="11"/>
        <v>2</v>
      </c>
      <c r="X42" s="16">
        <f t="shared" si="12"/>
        <v>0.25</v>
      </c>
    </row>
    <row r="43" spans="1:24" x14ac:dyDescent="0.3">
      <c r="A43" s="5">
        <v>32</v>
      </c>
      <c r="B43" s="6" t="s">
        <v>641</v>
      </c>
      <c r="C43" s="6" t="s">
        <v>642</v>
      </c>
      <c r="D43" s="6" t="s">
        <v>278</v>
      </c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5"/>
        <v>0</v>
      </c>
      <c r="K43" s="6"/>
      <c r="L43" s="7">
        <f t="shared" si="16"/>
        <v>0</v>
      </c>
      <c r="M43" s="6">
        <v>18</v>
      </c>
      <c r="N43" s="7">
        <f t="shared" si="17"/>
        <v>154.05405405405406</v>
      </c>
      <c r="O43" s="6"/>
      <c r="P43" s="7">
        <f t="shared" si="18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154.05405405405406</v>
      </c>
      <c r="V43" s="6">
        <f t="shared" si="10"/>
        <v>33</v>
      </c>
      <c r="W43" s="6">
        <f t="shared" si="11"/>
        <v>1</v>
      </c>
      <c r="X43" s="16">
        <f t="shared" si="12"/>
        <v>0.125</v>
      </c>
    </row>
    <row r="44" spans="1:24" x14ac:dyDescent="0.3">
      <c r="A44" s="5">
        <v>33</v>
      </c>
      <c r="B44" s="6" t="s">
        <v>675</v>
      </c>
      <c r="C44" s="6" t="s">
        <v>676</v>
      </c>
      <c r="D44" s="6" t="s">
        <v>653</v>
      </c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5"/>
        <v>0</v>
      </c>
      <c r="K44" s="6"/>
      <c r="L44" s="7">
        <f t="shared" si="16"/>
        <v>0</v>
      </c>
      <c r="M44" s="6"/>
      <c r="N44" s="7">
        <f t="shared" si="17"/>
        <v>0</v>
      </c>
      <c r="O44" s="6">
        <v>16</v>
      </c>
      <c r="P44" s="7">
        <f t="shared" si="18"/>
        <v>122.22222222222223</v>
      </c>
      <c r="Q44" s="6">
        <v>26</v>
      </c>
      <c r="R44" s="7">
        <f t="shared" si="7"/>
        <v>28.571428571428573</v>
      </c>
      <c r="S44" s="6"/>
      <c r="T44" s="7">
        <f t="shared" si="8"/>
        <v>0</v>
      </c>
      <c r="U44" s="8">
        <f t="shared" si="9"/>
        <v>150.79365079365081</v>
      </c>
      <c r="V44" s="6">
        <f t="shared" si="10"/>
        <v>34</v>
      </c>
      <c r="W44" s="6">
        <f t="shared" si="11"/>
        <v>2</v>
      </c>
      <c r="X44" s="16">
        <f t="shared" si="12"/>
        <v>0.25</v>
      </c>
    </row>
    <row r="45" spans="1:24" x14ac:dyDescent="0.3">
      <c r="A45" s="5">
        <v>34</v>
      </c>
      <c r="B45" s="6" t="s">
        <v>162</v>
      </c>
      <c r="C45" s="6" t="s">
        <v>163</v>
      </c>
      <c r="D45" s="6" t="s">
        <v>164</v>
      </c>
      <c r="E45" s="6"/>
      <c r="F45" s="7"/>
      <c r="G45" s="6"/>
      <c r="H45" s="7"/>
      <c r="I45" s="6"/>
      <c r="J45" s="7"/>
      <c r="K45" s="6"/>
      <c r="L45" s="7"/>
      <c r="M45" s="6"/>
      <c r="N45" s="7"/>
      <c r="O45" s="6"/>
      <c r="P45" s="7"/>
      <c r="Q45" s="6">
        <v>19</v>
      </c>
      <c r="R45" s="7">
        <f t="shared" si="7"/>
        <v>128.57142857142858</v>
      </c>
      <c r="S45" s="6">
        <v>31</v>
      </c>
      <c r="T45" s="7">
        <f t="shared" si="8"/>
        <v>12.5</v>
      </c>
      <c r="U45" s="8">
        <f t="shared" si="9"/>
        <v>141.07142857142858</v>
      </c>
      <c r="V45" s="6">
        <f t="shared" si="10"/>
        <v>35</v>
      </c>
      <c r="W45" s="6">
        <f t="shared" si="11"/>
        <v>2</v>
      </c>
      <c r="X45" s="16">
        <f t="shared" si="12"/>
        <v>0.25</v>
      </c>
    </row>
    <row r="46" spans="1:24" x14ac:dyDescent="0.3">
      <c r="A46" s="6">
        <v>35</v>
      </c>
      <c r="B46" s="6" t="s">
        <v>559</v>
      </c>
      <c r="C46" s="6" t="s">
        <v>498</v>
      </c>
      <c r="D46" s="6" t="s">
        <v>273</v>
      </c>
      <c r="E46" s="6"/>
      <c r="F46" s="7">
        <f>IF(E46=0,,($E$9-E46)*$E$7*100/$E$9)</f>
        <v>0</v>
      </c>
      <c r="G46" s="6"/>
      <c r="H46" s="7">
        <f>IF(G46=0,,($G$9-G46)*$G$7*100/$G$9)</f>
        <v>0</v>
      </c>
      <c r="I46" s="6"/>
      <c r="J46" s="7">
        <f>IF(I46=0,,($I$9-I46)*$I$7*100/$I$9)</f>
        <v>0</v>
      </c>
      <c r="K46" s="6"/>
      <c r="L46" s="7">
        <f>IF(K46=0,,($K$9-K46)*$K$7*100/$K$9)</f>
        <v>0</v>
      </c>
      <c r="M46" s="6"/>
      <c r="N46" s="7">
        <f>IF(M46=0,,($M$9-M46)*$M$7*100/$M$9)</f>
        <v>0</v>
      </c>
      <c r="O46" s="6">
        <v>15</v>
      </c>
      <c r="P46" s="7">
        <f t="shared" ref="P46:P57" si="19">IF(O46=0,,($O$9-O46)*$O$7*100/$O$9)</f>
        <v>133.33333333333334</v>
      </c>
      <c r="Q46" s="6"/>
      <c r="R46" s="7">
        <f t="shared" si="7"/>
        <v>0</v>
      </c>
      <c r="S46" s="6"/>
      <c r="T46" s="7">
        <f t="shared" si="8"/>
        <v>0</v>
      </c>
      <c r="U46" s="8">
        <f t="shared" si="9"/>
        <v>133.33333333333334</v>
      </c>
      <c r="V46" s="6">
        <f t="shared" si="10"/>
        <v>36</v>
      </c>
      <c r="W46" s="6">
        <f t="shared" si="11"/>
        <v>1</v>
      </c>
      <c r="X46" s="16">
        <f t="shared" si="12"/>
        <v>0.125</v>
      </c>
    </row>
    <row r="47" spans="1:24" x14ac:dyDescent="0.3">
      <c r="A47" s="5">
        <v>36</v>
      </c>
      <c r="B47" s="6" t="s">
        <v>677</v>
      </c>
      <c r="C47" s="6" t="s">
        <v>224</v>
      </c>
      <c r="D47" s="6" t="s">
        <v>164</v>
      </c>
      <c r="E47" s="6"/>
      <c r="F47" s="7">
        <f>IF(E47=0,,($E$9-E47)*$E$7*100/$E$9)</f>
        <v>0</v>
      </c>
      <c r="G47" s="6"/>
      <c r="H47" s="7">
        <f>IF(G47=0,,($G$9-G47)*$G$7*100/$G$9)</f>
        <v>0</v>
      </c>
      <c r="I47" s="6"/>
      <c r="J47" s="7">
        <f>IF(I47=0,,($I$9-I47)*$I$7*100/$I$9)</f>
        <v>0</v>
      </c>
      <c r="K47" s="6"/>
      <c r="L47" s="7">
        <f>IF(K47=0,,($K$9-K47)*$K$7*100/$K$9)</f>
        <v>0</v>
      </c>
      <c r="M47" s="6"/>
      <c r="N47" s="7">
        <f>IF(M47=0,,($M$9-M47)*$M$7*100/$M$9)</f>
        <v>0</v>
      </c>
      <c r="O47" s="6">
        <v>17</v>
      </c>
      <c r="P47" s="7">
        <f t="shared" si="19"/>
        <v>111.11111111111111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111.11111111111111</v>
      </c>
      <c r="V47" s="6">
        <f t="shared" si="10"/>
        <v>37</v>
      </c>
      <c r="W47" s="6">
        <f t="shared" si="11"/>
        <v>1</v>
      </c>
      <c r="X47" s="16">
        <f t="shared" si="12"/>
        <v>0.125</v>
      </c>
    </row>
    <row r="48" spans="1:24" x14ac:dyDescent="0.3">
      <c r="A48" s="5">
        <v>37</v>
      </c>
      <c r="B48" s="6" t="s">
        <v>678</v>
      </c>
      <c r="C48" s="6" t="s">
        <v>679</v>
      </c>
      <c r="D48" s="6" t="s">
        <v>494</v>
      </c>
      <c r="E48" s="6"/>
      <c r="F48" s="7">
        <f>IF(E48=0,,($E$9-E48)*$E$7*100/$E$9)</f>
        <v>0</v>
      </c>
      <c r="G48" s="6"/>
      <c r="H48" s="7">
        <f>IF(G48=0,,($G$9-G48)*$G$7*100/$G$9)</f>
        <v>0</v>
      </c>
      <c r="I48" s="6"/>
      <c r="J48" s="7">
        <f>IF(I48=0,,($I$9-I48)*$I$7*100/$I$9)</f>
        <v>0</v>
      </c>
      <c r="K48" s="6"/>
      <c r="L48" s="7">
        <f>IF(K48=0,,($K$9-K48)*$K$7*100/$K$9)</f>
        <v>0</v>
      </c>
      <c r="M48" s="6"/>
      <c r="N48" s="7">
        <f>IF(M48=0,,($M$9-M48)*$M$7*100/$M$9)</f>
        <v>0</v>
      </c>
      <c r="O48" s="6">
        <v>18</v>
      </c>
      <c r="P48" s="7">
        <f t="shared" si="19"/>
        <v>100</v>
      </c>
      <c r="Q48" s="6"/>
      <c r="R48" s="7">
        <f t="shared" si="7"/>
        <v>0</v>
      </c>
      <c r="S48" s="6"/>
      <c r="T48" s="7">
        <f t="shared" si="8"/>
        <v>0</v>
      </c>
      <c r="U48" s="8">
        <f t="shared" si="9"/>
        <v>100</v>
      </c>
      <c r="V48" s="6">
        <f t="shared" si="10"/>
        <v>38</v>
      </c>
      <c r="W48" s="6">
        <f t="shared" si="11"/>
        <v>1</v>
      </c>
      <c r="X48" s="16">
        <f t="shared" si="12"/>
        <v>0.125</v>
      </c>
    </row>
    <row r="49" spans="1:24" x14ac:dyDescent="0.3">
      <c r="A49" s="5">
        <v>38</v>
      </c>
      <c r="B49" s="6" t="s">
        <v>645</v>
      </c>
      <c r="C49" s="6" t="s">
        <v>391</v>
      </c>
      <c r="D49" s="6" t="s">
        <v>164</v>
      </c>
      <c r="E49" s="6"/>
      <c r="F49" s="7">
        <f>IF(E49=0,,($E$9-E49)*$E$7*100/$E$9)</f>
        <v>0</v>
      </c>
      <c r="G49" s="6"/>
      <c r="H49" s="7">
        <f>IF(G49=0,,($G$9-G49)*$G$7*100/$G$9)</f>
        <v>0</v>
      </c>
      <c r="I49" s="6"/>
      <c r="J49" s="7">
        <f>IF(I49=0,,($I$9-I49)*$I$7*100/$I$9)</f>
        <v>0</v>
      </c>
      <c r="K49" s="6"/>
      <c r="L49" s="7">
        <f>IF(K49=0,,($K$9-K49)*$K$7*100/$K$9)</f>
        <v>0</v>
      </c>
      <c r="M49" s="6">
        <v>28</v>
      </c>
      <c r="N49" s="7">
        <f>IF(M49=0,,($M$9-M49)*$M$7*100/$M$9)</f>
        <v>72.972972972972968</v>
      </c>
      <c r="O49" s="6"/>
      <c r="P49" s="7">
        <f t="shared" si="19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72.972972972972968</v>
      </c>
      <c r="V49" s="6">
        <f t="shared" si="10"/>
        <v>39</v>
      </c>
      <c r="W49" s="6">
        <f t="shared" si="11"/>
        <v>1</v>
      </c>
      <c r="X49" s="16">
        <f t="shared" si="12"/>
        <v>0.125</v>
      </c>
    </row>
    <row r="50" spans="1:24" x14ac:dyDescent="0.3">
      <c r="A50" s="5">
        <v>39</v>
      </c>
      <c r="B50" s="6" t="s">
        <v>680</v>
      </c>
      <c r="C50" s="6" t="s">
        <v>681</v>
      </c>
      <c r="D50" s="6" t="s">
        <v>243</v>
      </c>
      <c r="E50" s="6"/>
      <c r="F50" s="7"/>
      <c r="G50" s="6"/>
      <c r="H50" s="7"/>
      <c r="I50" s="6"/>
      <c r="J50" s="7"/>
      <c r="K50" s="6"/>
      <c r="L50" s="7"/>
      <c r="M50" s="6"/>
      <c r="N50" s="7"/>
      <c r="O50" s="6">
        <v>22</v>
      </c>
      <c r="P50" s="7">
        <f t="shared" si="19"/>
        <v>55.555555555555557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55.555555555555557</v>
      </c>
      <c r="V50" s="6">
        <f t="shared" si="10"/>
        <v>40</v>
      </c>
      <c r="W50" s="6">
        <f t="shared" si="11"/>
        <v>1</v>
      </c>
      <c r="X50" s="16">
        <f t="shared" si="12"/>
        <v>0.125</v>
      </c>
    </row>
    <row r="51" spans="1:24" x14ac:dyDescent="0.3">
      <c r="A51" s="5">
        <v>40</v>
      </c>
      <c r="B51" s="6" t="s">
        <v>648</v>
      </c>
      <c r="C51" s="6" t="s">
        <v>649</v>
      </c>
      <c r="D51" s="6" t="s">
        <v>164</v>
      </c>
      <c r="E51" s="6"/>
      <c r="F51" s="7">
        <f>IF(E51=0,,($E$9-E51)*$E$7*100/$E$9)</f>
        <v>0</v>
      </c>
      <c r="G51" s="6"/>
      <c r="H51" s="7">
        <f>IF(G51=0,,($G$9-G51)*$G$7*100/$G$9)</f>
        <v>0</v>
      </c>
      <c r="I51" s="6"/>
      <c r="J51" s="7">
        <f>IF(I51=0,,($I$9-I51)*$I$7*100/$I$9)</f>
        <v>0</v>
      </c>
      <c r="K51" s="6"/>
      <c r="L51" s="7">
        <f>IF(K51=0,,($K$9-K51)*$K$7*100/$K$9)</f>
        <v>0</v>
      </c>
      <c r="M51" s="6">
        <v>31</v>
      </c>
      <c r="N51" s="7">
        <f>IF(M51=0,,($M$9-M51)*$M$7*100/$M$9)</f>
        <v>48.648648648648646</v>
      </c>
      <c r="O51" s="6"/>
      <c r="P51" s="7">
        <f t="shared" si="19"/>
        <v>0</v>
      </c>
      <c r="Q51" s="6"/>
      <c r="R51" s="7">
        <f t="shared" si="7"/>
        <v>0</v>
      </c>
      <c r="S51" s="6"/>
      <c r="T51" s="7">
        <f t="shared" si="8"/>
        <v>0</v>
      </c>
      <c r="U51" s="8">
        <f t="shared" si="9"/>
        <v>48.648648648648646</v>
      </c>
      <c r="V51" s="6">
        <f t="shared" si="10"/>
        <v>41</v>
      </c>
      <c r="W51" s="6">
        <f t="shared" si="11"/>
        <v>1</v>
      </c>
      <c r="X51" s="16">
        <f t="shared" si="12"/>
        <v>0.125</v>
      </c>
    </row>
    <row r="52" spans="1:24" x14ac:dyDescent="0.3">
      <c r="A52" s="5">
        <v>42</v>
      </c>
      <c r="B52" s="6" t="s">
        <v>682</v>
      </c>
      <c r="C52" s="6" t="s">
        <v>312</v>
      </c>
      <c r="D52" s="6" t="s">
        <v>131</v>
      </c>
      <c r="E52" s="6"/>
      <c r="F52" s="7"/>
      <c r="G52" s="6"/>
      <c r="H52" s="7"/>
      <c r="I52" s="6"/>
      <c r="J52" s="7"/>
      <c r="K52" s="6"/>
      <c r="L52" s="7"/>
      <c r="M52" s="6"/>
      <c r="N52" s="7"/>
      <c r="O52" s="6">
        <v>23</v>
      </c>
      <c r="P52" s="7">
        <f t="shared" si="19"/>
        <v>44.444444444444443</v>
      </c>
      <c r="Q52" s="6"/>
      <c r="R52" s="7">
        <f t="shared" si="7"/>
        <v>0</v>
      </c>
      <c r="S52" s="6"/>
      <c r="T52" s="7">
        <f t="shared" si="8"/>
        <v>0</v>
      </c>
      <c r="U52" s="8">
        <f t="shared" si="9"/>
        <v>44.444444444444443</v>
      </c>
      <c r="V52" s="6">
        <f t="shared" si="10"/>
        <v>42</v>
      </c>
      <c r="W52" s="6">
        <f t="shared" si="11"/>
        <v>1</v>
      </c>
      <c r="X52" s="16">
        <f t="shared" si="12"/>
        <v>0.125</v>
      </c>
    </row>
    <row r="53" spans="1:24" x14ac:dyDescent="0.3">
      <c r="A53" s="5">
        <v>41</v>
      </c>
      <c r="B53" s="6" t="s">
        <v>654</v>
      </c>
      <c r="C53" s="6" t="s">
        <v>385</v>
      </c>
      <c r="D53" s="6" t="s">
        <v>653</v>
      </c>
      <c r="E53" s="6"/>
      <c r="F53" s="7">
        <f>IF(E53=0,,($E$9-E53)*$E$7*100/$E$9)</f>
        <v>0</v>
      </c>
      <c r="G53" s="6"/>
      <c r="H53" s="7">
        <f>IF(G53=0,,($G$9-G53)*$G$7*100/$G$9)</f>
        <v>0</v>
      </c>
      <c r="I53" s="6"/>
      <c r="J53" s="7">
        <f>IF(I53=0,,($I$9-I53)*$I$7*100/$I$9)</f>
        <v>0</v>
      </c>
      <c r="K53" s="6"/>
      <c r="L53" s="7">
        <f>IF(K53=0,,($K$9-K53)*$K$7*100/$K$9)</f>
        <v>0</v>
      </c>
      <c r="M53" s="6">
        <v>33</v>
      </c>
      <c r="N53" s="7">
        <f>IF(M53=0,,($M$9-M53)*$M$7*100/$M$9)</f>
        <v>32.432432432432435</v>
      </c>
      <c r="O53" s="6"/>
      <c r="P53" s="7">
        <f t="shared" si="19"/>
        <v>0</v>
      </c>
      <c r="Q53" s="6"/>
      <c r="R53" s="7">
        <f t="shared" si="7"/>
        <v>0</v>
      </c>
      <c r="S53" s="6"/>
      <c r="T53" s="7">
        <f t="shared" si="8"/>
        <v>0</v>
      </c>
      <c r="U53" s="8">
        <f t="shared" si="9"/>
        <v>32.432432432432435</v>
      </c>
      <c r="V53" s="6">
        <f t="shared" si="10"/>
        <v>43</v>
      </c>
      <c r="W53" s="6">
        <f t="shared" si="11"/>
        <v>1</v>
      </c>
      <c r="X53" s="16">
        <f t="shared" si="12"/>
        <v>0.125</v>
      </c>
    </row>
    <row r="54" spans="1:24" x14ac:dyDescent="0.3">
      <c r="A54" s="5">
        <v>42</v>
      </c>
      <c r="B54" s="6" t="s">
        <v>400</v>
      </c>
      <c r="C54" s="6" t="s">
        <v>401</v>
      </c>
      <c r="D54" s="6" t="s">
        <v>164</v>
      </c>
      <c r="E54" s="6"/>
      <c r="F54" s="7">
        <f>IF(E54=0,,($E$9-E54)*$E$7*100/$E$9)</f>
        <v>0</v>
      </c>
      <c r="G54" s="6"/>
      <c r="H54" s="7">
        <f>IF(G54=0,,($G$9-G54)*$G$7*100/$G$9)</f>
        <v>0</v>
      </c>
      <c r="I54" s="6">
        <v>22</v>
      </c>
      <c r="J54" s="7">
        <f>14/2</f>
        <v>7</v>
      </c>
      <c r="K54" s="6"/>
      <c r="L54" s="7">
        <f>IF(K54=0,,($K$9-K54)*$K$7*100/$K$9)</f>
        <v>0</v>
      </c>
      <c r="M54" s="6"/>
      <c r="N54" s="7">
        <f>IF(M54=0,,($M$9-M54)*$M$7*100/$M$9)</f>
        <v>0</v>
      </c>
      <c r="O54" s="6"/>
      <c r="P54" s="7">
        <f t="shared" si="19"/>
        <v>0</v>
      </c>
      <c r="Q54" s="6">
        <v>27</v>
      </c>
      <c r="R54" s="7">
        <f t="shared" si="7"/>
        <v>14.285714285714286</v>
      </c>
      <c r="S54" s="6"/>
      <c r="T54" s="7">
        <f t="shared" si="8"/>
        <v>0</v>
      </c>
      <c r="U54" s="8">
        <f t="shared" si="9"/>
        <v>21.285714285714285</v>
      </c>
      <c r="V54" s="6">
        <f t="shared" si="10"/>
        <v>44</v>
      </c>
      <c r="W54" s="6">
        <f t="shared" si="11"/>
        <v>2</v>
      </c>
      <c r="X54" s="16">
        <f t="shared" si="12"/>
        <v>0.25</v>
      </c>
    </row>
    <row r="55" spans="1:24" x14ac:dyDescent="0.3">
      <c r="A55" s="5">
        <v>43</v>
      </c>
      <c r="B55" s="6" t="s">
        <v>650</v>
      </c>
      <c r="C55" s="6" t="s">
        <v>237</v>
      </c>
      <c r="D55" s="6" t="s">
        <v>295</v>
      </c>
      <c r="E55" s="6"/>
      <c r="F55" s="7">
        <f>IF(E55=0,,($E$9-E55)*$E$7*100/$E$9)</f>
        <v>0</v>
      </c>
      <c r="G55" s="6"/>
      <c r="H55" s="7">
        <f>IF(G55=0,,($G$9-G55)*$G$7*100/$G$9)</f>
        <v>0</v>
      </c>
      <c r="I55" s="6"/>
      <c r="J55" s="7">
        <f>IF(I55=0,,($I$9-I55)*$I$7*100/$I$9)</f>
        <v>0</v>
      </c>
      <c r="K55" s="6"/>
      <c r="L55" s="7">
        <f>IF(K55=0,,($K$9-K55)*$K$7*100/$K$9)</f>
        <v>0</v>
      </c>
      <c r="M55" s="6">
        <v>35</v>
      </c>
      <c r="N55" s="7">
        <f>IF(M55=0,,($M$9-M55)*$M$7*100/$M$9)</f>
        <v>16.216216216216218</v>
      </c>
      <c r="O55" s="6"/>
      <c r="P55" s="7">
        <f t="shared" si="19"/>
        <v>0</v>
      </c>
      <c r="Q55" s="6">
        <v>28</v>
      </c>
      <c r="R55" s="7">
        <f t="shared" si="7"/>
        <v>0</v>
      </c>
      <c r="S55" s="6"/>
      <c r="T55" s="7">
        <f t="shared" si="8"/>
        <v>0</v>
      </c>
      <c r="U55" s="8">
        <f t="shared" si="9"/>
        <v>16.216216216216218</v>
      </c>
      <c r="V55" s="6">
        <f t="shared" si="10"/>
        <v>45</v>
      </c>
      <c r="W55" s="6"/>
      <c r="X55" s="16"/>
    </row>
    <row r="56" spans="1:24" x14ac:dyDescent="0.3">
      <c r="A56" s="5">
        <v>44</v>
      </c>
      <c r="B56" s="6" t="s">
        <v>263</v>
      </c>
      <c r="C56" s="6" t="s">
        <v>171</v>
      </c>
      <c r="D56" s="6" t="s">
        <v>243</v>
      </c>
      <c r="E56" s="6"/>
      <c r="F56" s="7">
        <f>IF(E56=0,,($E$9-E56)*$E$7*100/$E$9)</f>
        <v>0</v>
      </c>
      <c r="G56" s="6"/>
      <c r="H56" s="7">
        <f>IF(G56=0,,($G$9-G56)*$G$7*100/$G$9)</f>
        <v>0</v>
      </c>
      <c r="I56" s="6">
        <v>21</v>
      </c>
      <c r="J56" s="7">
        <f>IF(I56=0,,($I$9-I56)*$I$7*100/$I$9)</f>
        <v>13.636363636363637</v>
      </c>
      <c r="K56" s="6"/>
      <c r="L56" s="7">
        <f>IF(K56=0,,($K$9-K56)*$K$7*100/$K$9)</f>
        <v>0</v>
      </c>
      <c r="M56" s="6">
        <v>37</v>
      </c>
      <c r="N56" s="7">
        <f>IF(M56=0,,($M$9-M56)*$M$7*100/$M$9)</f>
        <v>0</v>
      </c>
      <c r="O56" s="6"/>
      <c r="P56" s="7">
        <f t="shared" si="19"/>
        <v>0</v>
      </c>
      <c r="Q56" s="6"/>
      <c r="R56" s="7">
        <f t="shared" si="7"/>
        <v>0</v>
      </c>
      <c r="S56" s="6"/>
      <c r="T56" s="7">
        <f t="shared" si="8"/>
        <v>0</v>
      </c>
      <c r="U56" s="8">
        <f t="shared" si="9"/>
        <v>13.636363636363637</v>
      </c>
      <c r="V56" s="6">
        <f t="shared" si="10"/>
        <v>46</v>
      </c>
      <c r="W56" s="6"/>
      <c r="X56" s="16"/>
    </row>
    <row r="57" spans="1:24" x14ac:dyDescent="0.3">
      <c r="A57" s="5">
        <v>45</v>
      </c>
      <c r="B57" s="6" t="s">
        <v>683</v>
      </c>
      <c r="C57" s="6" t="s">
        <v>684</v>
      </c>
      <c r="D57" s="6" t="s">
        <v>243</v>
      </c>
      <c r="E57" s="6"/>
      <c r="F57" s="7"/>
      <c r="G57" s="6"/>
      <c r="H57" s="7"/>
      <c r="I57" s="6"/>
      <c r="J57" s="7"/>
      <c r="K57" s="6"/>
      <c r="L57" s="7"/>
      <c r="M57" s="6"/>
      <c r="N57" s="7"/>
      <c r="O57" s="6">
        <v>26</v>
      </c>
      <c r="P57" s="7">
        <f t="shared" si="19"/>
        <v>11.111111111111111</v>
      </c>
      <c r="Q57" s="6"/>
      <c r="R57" s="7">
        <f t="shared" si="7"/>
        <v>0</v>
      </c>
      <c r="S57" s="6"/>
      <c r="T57" s="7">
        <f t="shared" si="8"/>
        <v>0</v>
      </c>
      <c r="U57" s="8">
        <f t="shared" si="9"/>
        <v>11.111111111111111</v>
      </c>
      <c r="V57" s="6">
        <f t="shared" si="10"/>
        <v>47</v>
      </c>
      <c r="W57" s="6"/>
      <c r="X57" s="16"/>
    </row>
    <row r="58" spans="1:24" x14ac:dyDescent="0.3">
      <c r="A58" s="5">
        <v>46</v>
      </c>
      <c r="B58" s="6" t="s">
        <v>685</v>
      </c>
      <c r="C58" s="6" t="s">
        <v>216</v>
      </c>
      <c r="D58" s="6" t="s">
        <v>243</v>
      </c>
      <c r="E58" s="6"/>
      <c r="F58" s="7">
        <f>IF(E58=0,,($E$9-E58)*$E$7*100/$E$9)</f>
        <v>0</v>
      </c>
      <c r="G58" s="6"/>
      <c r="H58" s="7">
        <f>IF(G58=0,,($G$9-G58)*$G$7*100/$G$9)</f>
        <v>0</v>
      </c>
      <c r="I58" s="6"/>
      <c r="J58" s="7">
        <f>IF(I58=0,,($I$9-I58)*$I$7*100/$I$9)</f>
        <v>0</v>
      </c>
      <c r="K58" s="6"/>
      <c r="L58" s="7">
        <f>IF(K58=0,,($K$9-K58)*$K$7*100/$K$9)</f>
        <v>0</v>
      </c>
      <c r="M58" s="6"/>
      <c r="N58" s="7">
        <f>IF(M58=0,,($M$9-M58)*$M$7*100/$M$9)</f>
        <v>0</v>
      </c>
      <c r="O58" s="6">
        <v>27</v>
      </c>
      <c r="P58" s="7">
        <f>11/2</f>
        <v>5.5</v>
      </c>
      <c r="Q58" s="6"/>
      <c r="R58" s="7">
        <f t="shared" si="7"/>
        <v>0</v>
      </c>
      <c r="S58" s="6"/>
      <c r="T58" s="7">
        <f t="shared" si="8"/>
        <v>0</v>
      </c>
      <c r="U58" s="8">
        <f t="shared" si="9"/>
        <v>5.5</v>
      </c>
      <c r="V58" s="6">
        <f t="shared" si="10"/>
        <v>48</v>
      </c>
      <c r="W58" s="6">
        <f t="shared" si="11"/>
        <v>1</v>
      </c>
      <c r="X58" s="16">
        <f t="shared" si="12"/>
        <v>0.125</v>
      </c>
    </row>
    <row r="59" spans="1:24" x14ac:dyDescent="0.3">
      <c r="A59" s="45" t="s">
        <v>11</v>
      </c>
      <c r="B59" s="45"/>
      <c r="C59" s="46"/>
      <c r="E59">
        <f>COUNTA(E11:E58)</f>
        <v>3</v>
      </c>
      <c r="G59">
        <f>COUNTA(G11:G58)</f>
        <v>9</v>
      </c>
      <c r="I59">
        <f>COUNTA(I11:I58)</f>
        <v>22</v>
      </c>
      <c r="K59">
        <f>COUNTA(K11:K58)</f>
        <v>13</v>
      </c>
      <c r="M59">
        <f>COUNTA(M11:M58)</f>
        <v>31</v>
      </c>
      <c r="O59">
        <f>COUNTA(O11:O58)</f>
        <v>27</v>
      </c>
      <c r="Q59">
        <f>COUNTA(Q11:Q58)</f>
        <v>29</v>
      </c>
      <c r="S59">
        <f>COUNTA(S11:S58)</f>
        <v>13</v>
      </c>
    </row>
    <row r="60" spans="1:24" x14ac:dyDescent="0.3">
      <c r="A60" s="55" t="s">
        <v>21</v>
      </c>
      <c r="B60" s="55"/>
      <c r="C60" s="55"/>
      <c r="E60" s="15">
        <f>E59/$G$2</f>
        <v>6.3829787234042548E-2</v>
      </c>
      <c r="G60" s="15">
        <f>G59/$G$2</f>
        <v>0.19148936170212766</v>
      </c>
      <c r="I60" s="15">
        <f>I59/$G$2</f>
        <v>0.46808510638297873</v>
      </c>
      <c r="K60" s="15">
        <f>K59/$G$2</f>
        <v>0.27659574468085107</v>
      </c>
      <c r="M60" s="15">
        <f>M59/$G$2</f>
        <v>0.65957446808510634</v>
      </c>
      <c r="O60" s="15">
        <f>O59/$G$2</f>
        <v>0.57446808510638303</v>
      </c>
      <c r="Q60" s="15">
        <f>Q59/$G$2</f>
        <v>0.61702127659574468</v>
      </c>
      <c r="S60" s="15">
        <f>S59/$G$2</f>
        <v>0.27659574468085107</v>
      </c>
    </row>
  </sheetData>
  <sortState xmlns:xlrd2="http://schemas.microsoft.com/office/spreadsheetml/2017/richdata2" ref="B11:V58">
    <sortCondition descending="1" ref="U11:U58"/>
  </sortState>
  <mergeCells count="37"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S8:T8"/>
    <mergeCell ref="Q8:R8"/>
    <mergeCell ref="K8:L8"/>
    <mergeCell ref="G9:H9"/>
    <mergeCell ref="I9:J9"/>
    <mergeCell ref="M9:N9"/>
    <mergeCell ref="O9:P9"/>
    <mergeCell ref="S9:T9"/>
    <mergeCell ref="Q9:R9"/>
    <mergeCell ref="K9:L9"/>
    <mergeCell ref="A59:C59"/>
    <mergeCell ref="E2:F2"/>
    <mergeCell ref="E3:F3"/>
    <mergeCell ref="A60:C60"/>
    <mergeCell ref="E9:F9"/>
    <mergeCell ref="E8:F8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5"/>
  <sheetViews>
    <sheetView zoomScale="95" zoomScaleNormal="95" workbookViewId="0">
      <pane xSplit="3" ySplit="10" topLeftCell="K11" activePane="bottomRight" state="frozenSplit"/>
      <selection activeCell="D26" sqref="D26"/>
      <selection pane="topRight" activeCell="D26" sqref="D26"/>
      <selection pane="bottomLeft" activeCell="D26" sqref="D26"/>
      <selection pane="bottomRight" activeCell="U18" sqref="U18"/>
    </sheetView>
  </sheetViews>
  <sheetFormatPr baseColWidth="10" defaultRowHeight="14.4" x14ac:dyDescent="0.3"/>
  <cols>
    <col min="1" max="1" width="18.33203125" bestFit="1" customWidth="1"/>
    <col min="2" max="2" width="16.66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3" width="11.44140625" customWidth="1"/>
    <col min="14" max="14" width="13.7773437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.2" x14ac:dyDescent="0.6">
      <c r="A1" s="47" t="s">
        <v>107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24" x14ac:dyDescent="0.3">
      <c r="E2" s="54" t="s">
        <v>17</v>
      </c>
      <c r="F2" s="54"/>
      <c r="G2" s="14">
        <f>COUNTA(B11:B34)</f>
        <v>24</v>
      </c>
    </row>
    <row r="3" spans="1:24" x14ac:dyDescent="0.3">
      <c r="B3" s="2"/>
      <c r="E3" s="54" t="s">
        <v>19</v>
      </c>
      <c r="F3" s="54"/>
      <c r="G3" s="14">
        <v>6</v>
      </c>
    </row>
    <row r="4" spans="1:24" x14ac:dyDescent="0.3">
      <c r="B4" s="2"/>
      <c r="C4" s="3"/>
    </row>
    <row r="6" spans="1:24" x14ac:dyDescent="0.3">
      <c r="D6" s="1" t="s">
        <v>0</v>
      </c>
      <c r="E6" s="41" t="s">
        <v>16</v>
      </c>
      <c r="F6" s="41"/>
      <c r="G6" s="41" t="s">
        <v>482</v>
      </c>
      <c r="H6" s="41"/>
      <c r="I6" s="41" t="s">
        <v>108</v>
      </c>
      <c r="J6" s="41"/>
      <c r="K6" s="41" t="s">
        <v>109</v>
      </c>
      <c r="L6" s="41"/>
      <c r="M6" s="41" t="s">
        <v>852</v>
      </c>
      <c r="N6" s="41"/>
      <c r="O6" s="41" t="s">
        <v>110</v>
      </c>
      <c r="P6" s="41"/>
      <c r="Q6" s="41" t="s">
        <v>860</v>
      </c>
      <c r="R6" s="41"/>
      <c r="S6" s="41"/>
      <c r="T6" s="41"/>
    </row>
    <row r="7" spans="1:24" x14ac:dyDescent="0.3">
      <c r="D7" s="1" t="s">
        <v>10</v>
      </c>
      <c r="E7" s="42">
        <v>3</v>
      </c>
      <c r="F7" s="43"/>
      <c r="G7" s="42">
        <v>3</v>
      </c>
      <c r="H7" s="43"/>
      <c r="I7" s="42">
        <v>3</v>
      </c>
      <c r="J7" s="43"/>
      <c r="K7" s="42">
        <v>3</v>
      </c>
      <c r="L7" s="43"/>
      <c r="M7" s="42">
        <v>4</v>
      </c>
      <c r="N7" s="43"/>
      <c r="O7" s="42">
        <v>3</v>
      </c>
      <c r="P7" s="43"/>
      <c r="Q7" s="42">
        <v>4</v>
      </c>
      <c r="R7" s="43"/>
      <c r="S7" s="42"/>
      <c r="T7" s="43"/>
    </row>
    <row r="8" spans="1:24" x14ac:dyDescent="0.3">
      <c r="D8" s="1" t="s">
        <v>1</v>
      </c>
      <c r="E8" s="44">
        <v>45241</v>
      </c>
      <c r="F8" s="44"/>
      <c r="G8" s="44">
        <v>45249</v>
      </c>
      <c r="H8" s="44"/>
      <c r="I8" s="58" t="s">
        <v>35</v>
      </c>
      <c r="J8" s="59"/>
      <c r="K8" s="58">
        <v>45339</v>
      </c>
      <c r="L8" s="59"/>
      <c r="M8" s="44" t="s">
        <v>31</v>
      </c>
      <c r="N8" s="44"/>
      <c r="O8" s="44">
        <v>45410</v>
      </c>
      <c r="P8" s="44"/>
      <c r="Q8" s="44" t="s">
        <v>33</v>
      </c>
      <c r="R8" s="44"/>
      <c r="S8" s="44"/>
      <c r="T8" s="44"/>
    </row>
    <row r="9" spans="1:24" x14ac:dyDescent="0.3">
      <c r="D9" s="1" t="s">
        <v>2</v>
      </c>
      <c r="E9" s="41">
        <v>10</v>
      </c>
      <c r="F9" s="41"/>
      <c r="G9" s="41">
        <v>6</v>
      </c>
      <c r="H9" s="41"/>
      <c r="I9" s="42">
        <v>14</v>
      </c>
      <c r="J9" s="43"/>
      <c r="K9" s="42">
        <v>15</v>
      </c>
      <c r="L9" s="43"/>
      <c r="M9" s="41">
        <v>13</v>
      </c>
      <c r="N9" s="41"/>
      <c r="O9" s="41">
        <v>0</v>
      </c>
      <c r="P9" s="41"/>
      <c r="Q9" s="41">
        <v>18</v>
      </c>
      <c r="R9" s="41"/>
      <c r="S9" s="41">
        <v>0</v>
      </c>
      <c r="T9" s="41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20</v>
      </c>
      <c r="X10" s="1" t="s">
        <v>22</v>
      </c>
    </row>
    <row r="11" spans="1:24" x14ac:dyDescent="0.3">
      <c r="A11" s="5">
        <f t="shared" ref="A11:A34" si="0">V11</f>
        <v>1</v>
      </c>
      <c r="B11" s="6" t="s">
        <v>404</v>
      </c>
      <c r="C11" s="6" t="s">
        <v>405</v>
      </c>
      <c r="D11" s="6" t="s">
        <v>408</v>
      </c>
      <c r="E11" s="6">
        <v>3</v>
      </c>
      <c r="F11" s="7">
        <f t="shared" ref="F11:F16" si="1">IF(E11=0,,($E$9-E11)*$E$7*100/$E$9)</f>
        <v>210</v>
      </c>
      <c r="G11" s="6">
        <v>3</v>
      </c>
      <c r="H11" s="7">
        <f t="shared" ref="H11:H16" si="2">IF(G11=0,,($G$9-G11)*$G$7*100/$G$9)</f>
        <v>150</v>
      </c>
      <c r="I11" s="6">
        <v>2</v>
      </c>
      <c r="J11" s="7">
        <f t="shared" ref="J11:J16" si="3">IF(I11=0,,($I$9-I11)*$I$7*100/$I$9)</f>
        <v>257.14285714285717</v>
      </c>
      <c r="K11" s="6">
        <v>1</v>
      </c>
      <c r="L11" s="7">
        <f t="shared" ref="L11:L16" si="4">IF(K11=0,,($K$9-K11)*$K$7*100/$K$9)</f>
        <v>280</v>
      </c>
      <c r="M11" s="6">
        <v>12</v>
      </c>
      <c r="N11" s="7">
        <f t="shared" ref="N11:N30" si="5">IF(M11=0,,($M$9-M11)*$M$7*100/$M$9)</f>
        <v>30.76923076923077</v>
      </c>
      <c r="O11" s="6"/>
      <c r="P11" s="7">
        <f t="shared" ref="P11:P16" si="6">IF(O11=0,,($O$9-O11)*$O$7*100/$O$9)</f>
        <v>0</v>
      </c>
      <c r="Q11" s="6">
        <v>2</v>
      </c>
      <c r="R11" s="7">
        <f t="shared" ref="R11:R20" si="7">IF(Q11=0,,($Q$9-Q11)*$Q$7*100/$Q$9)</f>
        <v>355.55555555555554</v>
      </c>
      <c r="S11" s="6"/>
      <c r="T11" s="7">
        <f t="shared" ref="T11:T16" si="8">IF(S11=0,,($S$9-S11)*$S$7*100/$S$9)</f>
        <v>0</v>
      </c>
      <c r="U11" s="8">
        <f t="shared" ref="U11:U34" si="9">T11+R11+P11+N11+L11+J11+H11+F11</f>
        <v>1283.4676434676435</v>
      </c>
      <c r="V11" s="6">
        <f t="shared" ref="V11:V34" si="10">ROW(B11)-10</f>
        <v>1</v>
      </c>
      <c r="W11" s="6">
        <f t="shared" ref="W11:W34" si="11">COUNTA(E11,I11,K11,M11,O11,S11,Q11)</f>
        <v>5</v>
      </c>
      <c r="X11" s="18">
        <f t="shared" ref="X11:X34" si="12">W11/$G$3</f>
        <v>0.83333333333333337</v>
      </c>
    </row>
    <row r="12" spans="1:24" x14ac:dyDescent="0.3">
      <c r="A12" s="5">
        <f t="shared" si="0"/>
        <v>2</v>
      </c>
      <c r="B12" s="6" t="s">
        <v>228</v>
      </c>
      <c r="C12" s="6" t="s">
        <v>410</v>
      </c>
      <c r="D12" s="6" t="s">
        <v>408</v>
      </c>
      <c r="E12" s="6">
        <v>7</v>
      </c>
      <c r="F12" s="7">
        <f t="shared" si="1"/>
        <v>90</v>
      </c>
      <c r="G12" s="6">
        <v>1</v>
      </c>
      <c r="H12" s="7">
        <f t="shared" si="2"/>
        <v>250</v>
      </c>
      <c r="I12" s="6">
        <v>3</v>
      </c>
      <c r="J12" s="7">
        <f t="shared" si="3"/>
        <v>235.71428571428572</v>
      </c>
      <c r="K12" s="6">
        <v>12</v>
      </c>
      <c r="L12" s="7">
        <f t="shared" si="4"/>
        <v>60</v>
      </c>
      <c r="M12" s="6">
        <v>3</v>
      </c>
      <c r="N12" s="7">
        <f t="shared" si="5"/>
        <v>307.69230769230768</v>
      </c>
      <c r="O12" s="6"/>
      <c r="P12" s="7">
        <f t="shared" si="6"/>
        <v>0</v>
      </c>
      <c r="Q12" s="6">
        <v>3</v>
      </c>
      <c r="R12" s="7">
        <f t="shared" si="7"/>
        <v>333.33333333333331</v>
      </c>
      <c r="S12" s="6"/>
      <c r="T12" s="7">
        <f t="shared" si="8"/>
        <v>0</v>
      </c>
      <c r="U12" s="8">
        <f t="shared" si="9"/>
        <v>1276.7399267399267</v>
      </c>
      <c r="V12" s="6">
        <f t="shared" si="10"/>
        <v>2</v>
      </c>
      <c r="W12" s="6">
        <f t="shared" si="11"/>
        <v>5</v>
      </c>
      <c r="X12" s="18">
        <f t="shared" si="12"/>
        <v>0.83333333333333337</v>
      </c>
    </row>
    <row r="13" spans="1:24" x14ac:dyDescent="0.3">
      <c r="A13" s="5">
        <f t="shared" si="0"/>
        <v>3</v>
      </c>
      <c r="B13" s="6" t="s">
        <v>313</v>
      </c>
      <c r="C13" s="6" t="s">
        <v>402</v>
      </c>
      <c r="D13" s="6" t="s">
        <v>246</v>
      </c>
      <c r="E13" s="6">
        <v>1</v>
      </c>
      <c r="F13" s="7">
        <f t="shared" si="1"/>
        <v>270</v>
      </c>
      <c r="G13" s="6"/>
      <c r="H13" s="7">
        <f t="shared" si="2"/>
        <v>0</v>
      </c>
      <c r="I13" s="6">
        <v>5</v>
      </c>
      <c r="J13" s="7">
        <f t="shared" si="3"/>
        <v>192.85714285714286</v>
      </c>
      <c r="K13" s="6">
        <v>3</v>
      </c>
      <c r="L13" s="7">
        <f t="shared" si="4"/>
        <v>240</v>
      </c>
      <c r="M13" s="6">
        <v>5</v>
      </c>
      <c r="N13" s="7">
        <f t="shared" si="5"/>
        <v>246.15384615384616</v>
      </c>
      <c r="O13" s="6"/>
      <c r="P13" s="7">
        <f t="shared" si="6"/>
        <v>0</v>
      </c>
      <c r="Q13" s="6">
        <v>11</v>
      </c>
      <c r="R13" s="7">
        <f t="shared" si="7"/>
        <v>155.55555555555554</v>
      </c>
      <c r="S13" s="6"/>
      <c r="T13" s="7">
        <f t="shared" si="8"/>
        <v>0</v>
      </c>
      <c r="U13" s="8">
        <f t="shared" si="9"/>
        <v>1104.5665445665445</v>
      </c>
      <c r="V13" s="6">
        <f t="shared" si="10"/>
        <v>3</v>
      </c>
      <c r="W13" s="6">
        <f t="shared" si="11"/>
        <v>5</v>
      </c>
      <c r="X13" s="18">
        <f t="shared" si="12"/>
        <v>0.83333333333333337</v>
      </c>
    </row>
    <row r="14" spans="1:24" x14ac:dyDescent="0.3">
      <c r="A14" s="5">
        <f t="shared" si="0"/>
        <v>4</v>
      </c>
      <c r="B14" s="6" t="s">
        <v>406</v>
      </c>
      <c r="C14" s="6" t="s">
        <v>130</v>
      </c>
      <c r="D14" s="6" t="s">
        <v>246</v>
      </c>
      <c r="E14" s="6">
        <v>3</v>
      </c>
      <c r="F14" s="7">
        <f t="shared" si="1"/>
        <v>210</v>
      </c>
      <c r="G14" s="6"/>
      <c r="H14" s="7">
        <f t="shared" si="2"/>
        <v>0</v>
      </c>
      <c r="I14" s="6">
        <v>9</v>
      </c>
      <c r="J14" s="7">
        <f t="shared" si="3"/>
        <v>107.14285714285714</v>
      </c>
      <c r="K14" s="6">
        <v>2</v>
      </c>
      <c r="L14" s="7">
        <f t="shared" si="4"/>
        <v>260</v>
      </c>
      <c r="M14" s="6">
        <v>6</v>
      </c>
      <c r="N14" s="7">
        <f t="shared" si="5"/>
        <v>215.38461538461539</v>
      </c>
      <c r="O14" s="6"/>
      <c r="P14" s="7">
        <f t="shared" si="6"/>
        <v>0</v>
      </c>
      <c r="Q14" s="6">
        <v>6</v>
      </c>
      <c r="R14" s="7">
        <f t="shared" si="7"/>
        <v>266.66666666666669</v>
      </c>
      <c r="S14" s="6"/>
      <c r="T14" s="7">
        <f t="shared" si="8"/>
        <v>0</v>
      </c>
      <c r="U14" s="8">
        <f t="shared" si="9"/>
        <v>1059.1941391941391</v>
      </c>
      <c r="V14" s="6">
        <f t="shared" si="10"/>
        <v>4</v>
      </c>
      <c r="W14" s="6">
        <f t="shared" si="11"/>
        <v>5</v>
      </c>
      <c r="X14" s="18">
        <f t="shared" si="12"/>
        <v>0.83333333333333337</v>
      </c>
    </row>
    <row r="15" spans="1:24" x14ac:dyDescent="0.3">
      <c r="A15" s="5">
        <f t="shared" si="0"/>
        <v>5</v>
      </c>
      <c r="B15" s="6" t="s">
        <v>403</v>
      </c>
      <c r="C15" s="6" t="s">
        <v>184</v>
      </c>
      <c r="D15" s="6" t="s">
        <v>408</v>
      </c>
      <c r="E15" s="6">
        <v>2</v>
      </c>
      <c r="F15" s="7">
        <f t="shared" si="1"/>
        <v>240</v>
      </c>
      <c r="G15" s="6">
        <v>5</v>
      </c>
      <c r="H15" s="7">
        <f t="shared" si="2"/>
        <v>50</v>
      </c>
      <c r="I15" s="6"/>
      <c r="J15" s="7">
        <f t="shared" si="3"/>
        <v>0</v>
      </c>
      <c r="K15" s="6">
        <v>3</v>
      </c>
      <c r="L15" s="7">
        <f t="shared" si="4"/>
        <v>240</v>
      </c>
      <c r="M15" s="6">
        <v>3</v>
      </c>
      <c r="N15" s="7">
        <f t="shared" si="5"/>
        <v>307.69230769230768</v>
      </c>
      <c r="O15" s="6"/>
      <c r="P15" s="7">
        <f t="shared" si="6"/>
        <v>0</v>
      </c>
      <c r="Q15" s="6">
        <v>14</v>
      </c>
      <c r="R15" s="7">
        <f t="shared" si="7"/>
        <v>88.888888888888886</v>
      </c>
      <c r="S15" s="6"/>
      <c r="T15" s="7">
        <f t="shared" si="8"/>
        <v>0</v>
      </c>
      <c r="U15" s="8">
        <f t="shared" si="9"/>
        <v>926.58119658119654</v>
      </c>
      <c r="V15" s="6">
        <f t="shared" si="10"/>
        <v>5</v>
      </c>
      <c r="W15" s="6">
        <f t="shared" si="11"/>
        <v>4</v>
      </c>
      <c r="X15" s="18">
        <f t="shared" si="12"/>
        <v>0.66666666666666663</v>
      </c>
    </row>
    <row r="16" spans="1:24" x14ac:dyDescent="0.3">
      <c r="A16" s="5">
        <f t="shared" si="0"/>
        <v>6</v>
      </c>
      <c r="B16" s="6" t="s">
        <v>407</v>
      </c>
      <c r="C16" s="6" t="s">
        <v>861</v>
      </c>
      <c r="D16" s="6" t="s">
        <v>278</v>
      </c>
      <c r="E16" s="6">
        <v>5</v>
      </c>
      <c r="F16" s="7">
        <f t="shared" si="1"/>
        <v>150</v>
      </c>
      <c r="G16" s="6"/>
      <c r="H16" s="7">
        <f t="shared" si="2"/>
        <v>0</v>
      </c>
      <c r="I16" s="6">
        <v>6</v>
      </c>
      <c r="J16" s="7">
        <f t="shared" si="3"/>
        <v>171.42857142857142</v>
      </c>
      <c r="K16" s="6">
        <v>8</v>
      </c>
      <c r="L16" s="7">
        <f t="shared" si="4"/>
        <v>140</v>
      </c>
      <c r="M16" s="6"/>
      <c r="N16" s="7">
        <f t="shared" si="5"/>
        <v>0</v>
      </c>
      <c r="O16" s="6"/>
      <c r="P16" s="7">
        <f t="shared" si="6"/>
        <v>0</v>
      </c>
      <c r="Q16" s="6">
        <v>7</v>
      </c>
      <c r="R16" s="7">
        <f t="shared" si="7"/>
        <v>244.44444444444446</v>
      </c>
      <c r="S16" s="6"/>
      <c r="T16" s="7">
        <f t="shared" si="8"/>
        <v>0</v>
      </c>
      <c r="U16" s="8">
        <f t="shared" si="9"/>
        <v>705.8730158730159</v>
      </c>
      <c r="V16" s="6">
        <f t="shared" si="10"/>
        <v>6</v>
      </c>
      <c r="W16" s="6">
        <f t="shared" si="11"/>
        <v>4</v>
      </c>
      <c r="X16" s="18">
        <f t="shared" si="12"/>
        <v>0.66666666666666663</v>
      </c>
    </row>
    <row r="17" spans="1:24" x14ac:dyDescent="0.3">
      <c r="A17" s="5">
        <f t="shared" si="0"/>
        <v>7</v>
      </c>
      <c r="B17" s="6" t="s">
        <v>419</v>
      </c>
      <c r="C17" s="6" t="s">
        <v>420</v>
      </c>
      <c r="D17" s="6"/>
      <c r="E17" s="6"/>
      <c r="F17" s="7"/>
      <c r="G17" s="6"/>
      <c r="H17" s="7"/>
      <c r="I17" s="6"/>
      <c r="J17" s="7"/>
      <c r="K17" s="6"/>
      <c r="L17" s="7"/>
      <c r="M17" s="6">
        <v>2</v>
      </c>
      <c r="N17" s="7">
        <f t="shared" si="5"/>
        <v>338.46153846153845</v>
      </c>
      <c r="O17" s="6"/>
      <c r="P17" s="7"/>
      <c r="Q17" s="6">
        <v>3</v>
      </c>
      <c r="R17" s="7">
        <f t="shared" si="7"/>
        <v>333.33333333333331</v>
      </c>
      <c r="S17" s="6"/>
      <c r="T17" s="7"/>
      <c r="U17" s="8">
        <f t="shared" si="9"/>
        <v>671.79487179487182</v>
      </c>
      <c r="V17" s="6">
        <f t="shared" si="10"/>
        <v>7</v>
      </c>
      <c r="W17" s="6">
        <f t="shared" si="11"/>
        <v>2</v>
      </c>
      <c r="X17" s="18">
        <f t="shared" si="12"/>
        <v>0.33333333333333331</v>
      </c>
    </row>
    <row r="18" spans="1:24" x14ac:dyDescent="0.3">
      <c r="A18" s="5">
        <f t="shared" si="0"/>
        <v>8</v>
      </c>
      <c r="B18" s="6" t="s">
        <v>655</v>
      </c>
      <c r="C18" s="6" t="s">
        <v>656</v>
      </c>
      <c r="D18" s="6" t="s">
        <v>246</v>
      </c>
      <c r="E18" s="6"/>
      <c r="F18" s="7">
        <f t="shared" ref="F18:F23" si="13">IF(E18=0,,($E$9-E18)*$E$7*100/$E$9)</f>
        <v>0</v>
      </c>
      <c r="G18" s="6"/>
      <c r="H18" s="7">
        <f>IF(G18=0,,($G$9-G18)*$G$7*100/$G$9)</f>
        <v>0</v>
      </c>
      <c r="I18" s="6">
        <v>3</v>
      </c>
      <c r="J18" s="7">
        <f t="shared" ref="J18:J27" si="14">IF(I18=0,,($I$9-I18)*$I$7*100/$I$9)</f>
        <v>235.71428571428572</v>
      </c>
      <c r="K18" s="6"/>
      <c r="L18" s="7">
        <f t="shared" ref="L18:L32" si="15">IF(K18=0,,($K$9-K18)*$K$7*100/$K$9)</f>
        <v>0</v>
      </c>
      <c r="M18" s="6">
        <v>1</v>
      </c>
      <c r="N18" s="7">
        <f t="shared" si="5"/>
        <v>369.23076923076923</v>
      </c>
      <c r="O18" s="6"/>
      <c r="P18" s="7">
        <f t="shared" ref="P18:P27" si="16">IF(O18=0,,($O$9-O18)*$O$7*100/$O$9)</f>
        <v>0</v>
      </c>
      <c r="Q18" s="6"/>
      <c r="R18" s="7">
        <f t="shared" si="7"/>
        <v>0</v>
      </c>
      <c r="S18" s="6"/>
      <c r="T18" s="7">
        <f t="shared" ref="T18:T27" si="17">IF(S18=0,,($S$9-S18)*$S$7*100/$S$9)</f>
        <v>0</v>
      </c>
      <c r="U18" s="8">
        <f t="shared" si="9"/>
        <v>604.94505494505495</v>
      </c>
      <c r="V18" s="6">
        <f t="shared" si="10"/>
        <v>8</v>
      </c>
      <c r="W18" s="6">
        <f t="shared" si="11"/>
        <v>2</v>
      </c>
      <c r="X18" s="18">
        <f t="shared" si="12"/>
        <v>0.33333333333333331</v>
      </c>
    </row>
    <row r="19" spans="1:24" x14ac:dyDescent="0.3">
      <c r="A19" s="5">
        <f t="shared" si="0"/>
        <v>9</v>
      </c>
      <c r="B19" s="6" t="s">
        <v>411</v>
      </c>
      <c r="C19" s="6" t="s">
        <v>412</v>
      </c>
      <c r="D19" s="6" t="s">
        <v>408</v>
      </c>
      <c r="E19" s="6">
        <v>8</v>
      </c>
      <c r="F19" s="7">
        <f t="shared" si="13"/>
        <v>60</v>
      </c>
      <c r="G19" s="6">
        <v>6</v>
      </c>
      <c r="H19" s="7">
        <v>25</v>
      </c>
      <c r="I19" s="6">
        <v>10</v>
      </c>
      <c r="J19" s="7">
        <f t="shared" si="14"/>
        <v>85.714285714285708</v>
      </c>
      <c r="K19" s="6">
        <v>6</v>
      </c>
      <c r="L19" s="7">
        <f t="shared" si="15"/>
        <v>180</v>
      </c>
      <c r="M19" s="6">
        <v>8</v>
      </c>
      <c r="N19" s="7">
        <f t="shared" si="5"/>
        <v>153.84615384615384</v>
      </c>
      <c r="O19" s="6"/>
      <c r="P19" s="7">
        <f t="shared" si="16"/>
        <v>0</v>
      </c>
      <c r="Q19" s="6">
        <v>15</v>
      </c>
      <c r="R19" s="7">
        <f t="shared" si="7"/>
        <v>66.666666666666671</v>
      </c>
      <c r="S19" s="6"/>
      <c r="T19" s="7">
        <f t="shared" si="17"/>
        <v>0</v>
      </c>
      <c r="U19" s="8">
        <f t="shared" si="9"/>
        <v>571.22710622710622</v>
      </c>
      <c r="V19" s="6">
        <f t="shared" si="10"/>
        <v>9</v>
      </c>
      <c r="W19" s="6">
        <f t="shared" si="11"/>
        <v>5</v>
      </c>
      <c r="X19" s="18">
        <f t="shared" si="12"/>
        <v>0.83333333333333337</v>
      </c>
    </row>
    <row r="20" spans="1:24" x14ac:dyDescent="0.3">
      <c r="A20" s="5">
        <f t="shared" si="0"/>
        <v>10</v>
      </c>
      <c r="B20" s="6" t="s">
        <v>739</v>
      </c>
      <c r="C20" s="6" t="s">
        <v>740</v>
      </c>
      <c r="D20" s="6" t="s">
        <v>716</v>
      </c>
      <c r="E20" s="6"/>
      <c r="F20" s="7">
        <f t="shared" si="13"/>
        <v>0</v>
      </c>
      <c r="G20" s="6"/>
      <c r="H20" s="7">
        <f>IF(G20=0,,($E$9-G20)*$E$7*100/$E$9)</f>
        <v>0</v>
      </c>
      <c r="I20" s="6"/>
      <c r="J20" s="7">
        <f t="shared" si="14"/>
        <v>0</v>
      </c>
      <c r="K20" s="6">
        <v>5</v>
      </c>
      <c r="L20" s="7">
        <f t="shared" si="15"/>
        <v>200</v>
      </c>
      <c r="M20" s="6">
        <v>7</v>
      </c>
      <c r="N20" s="7">
        <f t="shared" si="5"/>
        <v>184.61538461538461</v>
      </c>
      <c r="O20" s="6"/>
      <c r="P20" s="7">
        <f t="shared" si="16"/>
        <v>0</v>
      </c>
      <c r="Q20" s="6"/>
      <c r="R20" s="7">
        <f t="shared" si="7"/>
        <v>0</v>
      </c>
      <c r="S20" s="6"/>
      <c r="T20" s="7">
        <f t="shared" si="17"/>
        <v>0</v>
      </c>
      <c r="U20" s="8">
        <f t="shared" si="9"/>
        <v>384.61538461538464</v>
      </c>
      <c r="V20" s="6">
        <f t="shared" si="10"/>
        <v>10</v>
      </c>
      <c r="W20" s="6">
        <f t="shared" si="11"/>
        <v>2</v>
      </c>
      <c r="X20" s="16">
        <f t="shared" si="12"/>
        <v>0.33333333333333331</v>
      </c>
    </row>
    <row r="21" spans="1:24" x14ac:dyDescent="0.3">
      <c r="A21" s="5">
        <f t="shared" si="0"/>
        <v>11</v>
      </c>
      <c r="B21" s="6" t="s">
        <v>658</v>
      </c>
      <c r="C21" s="6" t="s">
        <v>659</v>
      </c>
      <c r="D21" s="6" t="s">
        <v>278</v>
      </c>
      <c r="E21" s="6"/>
      <c r="F21" s="7">
        <f t="shared" si="13"/>
        <v>0</v>
      </c>
      <c r="G21" s="6"/>
      <c r="H21" s="7">
        <f>IF(G21=0,,($G$9-G21)*$G$7*100/$G$9)</f>
        <v>0</v>
      </c>
      <c r="I21" s="6">
        <v>8</v>
      </c>
      <c r="J21" s="7">
        <f t="shared" si="14"/>
        <v>128.57142857142858</v>
      </c>
      <c r="K21" s="6">
        <v>10</v>
      </c>
      <c r="L21" s="7">
        <f t="shared" si="15"/>
        <v>100</v>
      </c>
      <c r="M21" s="6">
        <v>10</v>
      </c>
      <c r="N21" s="7">
        <f t="shared" si="5"/>
        <v>92.307692307692307</v>
      </c>
      <c r="O21" s="6"/>
      <c r="P21" s="7">
        <f t="shared" si="16"/>
        <v>0</v>
      </c>
      <c r="Q21" s="6">
        <v>18</v>
      </c>
      <c r="R21" s="7">
        <v>11</v>
      </c>
      <c r="S21" s="6"/>
      <c r="T21" s="7">
        <f t="shared" si="17"/>
        <v>0</v>
      </c>
      <c r="U21" s="8">
        <f t="shared" si="9"/>
        <v>331.87912087912093</v>
      </c>
      <c r="V21" s="6">
        <f t="shared" si="10"/>
        <v>11</v>
      </c>
      <c r="W21" s="6">
        <f t="shared" si="11"/>
        <v>4</v>
      </c>
      <c r="X21" s="18">
        <f t="shared" si="12"/>
        <v>0.66666666666666663</v>
      </c>
    </row>
    <row r="22" spans="1:24" x14ac:dyDescent="0.3">
      <c r="A22" s="5">
        <f t="shared" si="0"/>
        <v>12</v>
      </c>
      <c r="B22" s="6" t="s">
        <v>530</v>
      </c>
      <c r="C22" s="6" t="s">
        <v>531</v>
      </c>
      <c r="D22" s="6" t="s">
        <v>278</v>
      </c>
      <c r="E22" s="6"/>
      <c r="F22" s="7">
        <f t="shared" si="13"/>
        <v>0</v>
      </c>
      <c r="G22" s="6"/>
      <c r="H22" s="7">
        <f>IF(G22=0,,($E$9-G22)*$E$7*100/$E$9)</f>
        <v>0</v>
      </c>
      <c r="I22" s="6"/>
      <c r="J22" s="7">
        <f t="shared" si="14"/>
        <v>0</v>
      </c>
      <c r="K22" s="6">
        <v>11</v>
      </c>
      <c r="L22" s="7">
        <f t="shared" si="15"/>
        <v>80</v>
      </c>
      <c r="M22" s="6"/>
      <c r="N22" s="7">
        <f t="shared" si="5"/>
        <v>0</v>
      </c>
      <c r="O22" s="6"/>
      <c r="P22" s="7">
        <f t="shared" si="16"/>
        <v>0</v>
      </c>
      <c r="Q22" s="6">
        <v>8</v>
      </c>
      <c r="R22" s="7">
        <f t="shared" ref="R22:R34" si="18">IF(Q22=0,,($Q$9-Q22)*$Q$7*100/$Q$9)</f>
        <v>222.22222222222223</v>
      </c>
      <c r="S22" s="6"/>
      <c r="T22" s="7">
        <f t="shared" si="17"/>
        <v>0</v>
      </c>
      <c r="U22" s="8">
        <f t="shared" si="9"/>
        <v>302.22222222222223</v>
      </c>
      <c r="V22" s="6">
        <f t="shared" si="10"/>
        <v>12</v>
      </c>
      <c r="W22" s="6">
        <f t="shared" si="11"/>
        <v>2</v>
      </c>
      <c r="X22" s="18">
        <f t="shared" si="12"/>
        <v>0.33333333333333331</v>
      </c>
    </row>
    <row r="23" spans="1:24" x14ac:dyDescent="0.3">
      <c r="A23" s="5">
        <f t="shared" si="0"/>
        <v>13</v>
      </c>
      <c r="B23" s="6" t="s">
        <v>155</v>
      </c>
      <c r="C23" s="6" t="s">
        <v>409</v>
      </c>
      <c r="D23" s="6" t="s">
        <v>408</v>
      </c>
      <c r="E23" s="6">
        <v>6</v>
      </c>
      <c r="F23" s="7">
        <f t="shared" si="13"/>
        <v>120</v>
      </c>
      <c r="G23" s="6">
        <v>4</v>
      </c>
      <c r="H23" s="7">
        <f>IF(G23=0,,($G$9-G23)*$G$7*100/$G$9)</f>
        <v>100</v>
      </c>
      <c r="I23" s="6"/>
      <c r="J23" s="7">
        <f t="shared" si="14"/>
        <v>0</v>
      </c>
      <c r="K23" s="6"/>
      <c r="L23" s="7">
        <f t="shared" si="15"/>
        <v>0</v>
      </c>
      <c r="M23" s="6"/>
      <c r="N23" s="7">
        <f t="shared" si="5"/>
        <v>0</v>
      </c>
      <c r="O23" s="6"/>
      <c r="P23" s="7">
        <f t="shared" si="16"/>
        <v>0</v>
      </c>
      <c r="Q23" s="6"/>
      <c r="R23" s="7">
        <f t="shared" si="18"/>
        <v>0</v>
      </c>
      <c r="S23" s="6"/>
      <c r="T23" s="7">
        <f t="shared" si="17"/>
        <v>0</v>
      </c>
      <c r="U23" s="8">
        <f t="shared" si="9"/>
        <v>220</v>
      </c>
      <c r="V23" s="6">
        <f t="shared" si="10"/>
        <v>13</v>
      </c>
      <c r="W23" s="6">
        <f t="shared" si="11"/>
        <v>1</v>
      </c>
      <c r="X23" s="18">
        <f t="shared" si="12"/>
        <v>0.16666666666666666</v>
      </c>
    </row>
    <row r="24" spans="1:24" x14ac:dyDescent="0.3">
      <c r="A24" s="5">
        <f t="shared" si="0"/>
        <v>14</v>
      </c>
      <c r="B24" s="6" t="s">
        <v>415</v>
      </c>
      <c r="C24" s="6" t="s">
        <v>416</v>
      </c>
      <c r="D24" s="6" t="s">
        <v>408</v>
      </c>
      <c r="E24" s="6">
        <v>10</v>
      </c>
      <c r="F24" s="7">
        <v>15</v>
      </c>
      <c r="G24" s="6"/>
      <c r="H24" s="7">
        <f>IF(G24=0,,($G$9-G24)*$G$7*100/$G$9)</f>
        <v>0</v>
      </c>
      <c r="I24" s="6">
        <v>11</v>
      </c>
      <c r="J24" s="7">
        <f t="shared" si="14"/>
        <v>64.285714285714292</v>
      </c>
      <c r="K24" s="6"/>
      <c r="L24" s="7">
        <f t="shared" si="15"/>
        <v>0</v>
      </c>
      <c r="M24" s="6">
        <v>9</v>
      </c>
      <c r="N24" s="7">
        <f t="shared" si="5"/>
        <v>123.07692307692308</v>
      </c>
      <c r="O24" s="6"/>
      <c r="P24" s="7">
        <f t="shared" si="16"/>
        <v>0</v>
      </c>
      <c r="Q24" s="6"/>
      <c r="R24" s="7">
        <f t="shared" si="18"/>
        <v>0</v>
      </c>
      <c r="S24" s="6"/>
      <c r="T24" s="7">
        <f t="shared" si="17"/>
        <v>0</v>
      </c>
      <c r="U24" s="8">
        <f t="shared" si="9"/>
        <v>202.36263736263737</v>
      </c>
      <c r="V24" s="6">
        <f t="shared" si="10"/>
        <v>14</v>
      </c>
      <c r="W24" s="6">
        <f t="shared" si="11"/>
        <v>3</v>
      </c>
      <c r="X24" s="18">
        <f t="shared" si="12"/>
        <v>0.5</v>
      </c>
    </row>
    <row r="25" spans="1:24" x14ac:dyDescent="0.3">
      <c r="A25" s="5">
        <f t="shared" si="0"/>
        <v>15</v>
      </c>
      <c r="B25" s="6" t="s">
        <v>741</v>
      </c>
      <c r="C25" s="6" t="s">
        <v>323</v>
      </c>
      <c r="D25" s="6" t="s">
        <v>742</v>
      </c>
      <c r="E25" s="6"/>
      <c r="F25" s="7">
        <f>IF(E25=0,,($E$9-E25)*$E$7*100/$E$9)</f>
        <v>0</v>
      </c>
      <c r="G25" s="6"/>
      <c r="H25" s="7">
        <f>IF(G25=0,,($E$9-G25)*$E$7*100/$E$9)</f>
        <v>0</v>
      </c>
      <c r="I25" s="6"/>
      <c r="J25" s="7">
        <f t="shared" si="14"/>
        <v>0</v>
      </c>
      <c r="K25" s="6">
        <v>7</v>
      </c>
      <c r="L25" s="7">
        <f t="shared" si="15"/>
        <v>160</v>
      </c>
      <c r="M25" s="6"/>
      <c r="N25" s="7">
        <f t="shared" si="5"/>
        <v>0</v>
      </c>
      <c r="O25" s="6"/>
      <c r="P25" s="7">
        <f t="shared" si="16"/>
        <v>0</v>
      </c>
      <c r="Q25" s="6"/>
      <c r="R25" s="7">
        <f t="shared" si="18"/>
        <v>0</v>
      </c>
      <c r="S25" s="6"/>
      <c r="T25" s="7">
        <f t="shared" si="17"/>
        <v>0</v>
      </c>
      <c r="U25" s="8">
        <f t="shared" si="9"/>
        <v>160</v>
      </c>
      <c r="V25" s="6">
        <f t="shared" si="10"/>
        <v>15</v>
      </c>
      <c r="W25" s="6">
        <f t="shared" si="11"/>
        <v>1</v>
      </c>
      <c r="X25" s="18">
        <f t="shared" si="12"/>
        <v>0.16666666666666666</v>
      </c>
    </row>
    <row r="26" spans="1:24" x14ac:dyDescent="0.3">
      <c r="A26" s="5">
        <f t="shared" si="0"/>
        <v>16</v>
      </c>
      <c r="B26" s="6" t="s">
        <v>657</v>
      </c>
      <c r="C26" s="6" t="s">
        <v>527</v>
      </c>
      <c r="D26" s="6" t="s">
        <v>246</v>
      </c>
      <c r="E26" s="6"/>
      <c r="F26" s="7">
        <f>IF(E26=0,,($E$9-E26)*$E$7*100/$E$9)</f>
        <v>0</v>
      </c>
      <c r="G26" s="6"/>
      <c r="H26" s="7">
        <f>IF(G26=0,,($G$9-G26)*$G$7*100/$G$9)</f>
        <v>0</v>
      </c>
      <c r="I26" s="6">
        <v>7</v>
      </c>
      <c r="J26" s="7">
        <f t="shared" si="14"/>
        <v>150</v>
      </c>
      <c r="K26" s="6"/>
      <c r="L26" s="7">
        <f t="shared" si="15"/>
        <v>0</v>
      </c>
      <c r="M26" s="6"/>
      <c r="N26" s="7">
        <f t="shared" si="5"/>
        <v>0</v>
      </c>
      <c r="O26" s="6"/>
      <c r="P26" s="7">
        <f t="shared" si="16"/>
        <v>0</v>
      </c>
      <c r="Q26" s="6"/>
      <c r="R26" s="7">
        <f t="shared" si="18"/>
        <v>0</v>
      </c>
      <c r="S26" s="6"/>
      <c r="T26" s="7">
        <f t="shared" si="17"/>
        <v>0</v>
      </c>
      <c r="U26" s="8">
        <f t="shared" si="9"/>
        <v>150</v>
      </c>
      <c r="V26" s="6">
        <f t="shared" si="10"/>
        <v>16</v>
      </c>
      <c r="W26" s="6">
        <f t="shared" si="11"/>
        <v>1</v>
      </c>
      <c r="X26" s="16">
        <f t="shared" si="12"/>
        <v>0.16666666666666666</v>
      </c>
    </row>
    <row r="27" spans="1:24" x14ac:dyDescent="0.3">
      <c r="A27" s="5">
        <f t="shared" si="0"/>
        <v>17</v>
      </c>
      <c r="B27" s="6" t="s">
        <v>743</v>
      </c>
      <c r="C27" s="6" t="s">
        <v>744</v>
      </c>
      <c r="D27" s="6" t="s">
        <v>408</v>
      </c>
      <c r="E27" s="6"/>
      <c r="F27" s="7">
        <f>IF(E27=0,,($E$9-E27)*$E$7*100/$E$9)</f>
        <v>0</v>
      </c>
      <c r="G27" s="6"/>
      <c r="H27" s="7">
        <f>IF(G27=0,,($E$9-G27)*$E$7*100/$E$9)</f>
        <v>0</v>
      </c>
      <c r="I27" s="6"/>
      <c r="J27" s="7">
        <f t="shared" si="14"/>
        <v>0</v>
      </c>
      <c r="K27" s="6">
        <v>9</v>
      </c>
      <c r="L27" s="7">
        <f t="shared" si="15"/>
        <v>120</v>
      </c>
      <c r="M27" s="6"/>
      <c r="N27" s="7">
        <f t="shared" si="5"/>
        <v>0</v>
      </c>
      <c r="O27" s="6"/>
      <c r="P27" s="7">
        <f t="shared" si="16"/>
        <v>0</v>
      </c>
      <c r="Q27" s="6"/>
      <c r="R27" s="7">
        <f t="shared" si="18"/>
        <v>0</v>
      </c>
      <c r="S27" s="6"/>
      <c r="T27" s="7">
        <f t="shared" si="17"/>
        <v>0</v>
      </c>
      <c r="U27" s="8">
        <f t="shared" si="9"/>
        <v>120</v>
      </c>
      <c r="V27" s="6">
        <f t="shared" si="10"/>
        <v>17</v>
      </c>
      <c r="W27" s="6">
        <f t="shared" si="11"/>
        <v>1</v>
      </c>
      <c r="X27" s="18">
        <f t="shared" si="12"/>
        <v>0.16666666666666666</v>
      </c>
    </row>
    <row r="28" spans="1:24" x14ac:dyDescent="0.3">
      <c r="A28" s="5">
        <f t="shared" si="0"/>
        <v>18</v>
      </c>
      <c r="B28" s="6" t="s">
        <v>746</v>
      </c>
      <c r="C28" s="6" t="s">
        <v>747</v>
      </c>
      <c r="D28" s="6" t="s">
        <v>131</v>
      </c>
      <c r="E28" s="6"/>
      <c r="F28" s="7"/>
      <c r="G28" s="6"/>
      <c r="H28" s="7"/>
      <c r="I28" s="6"/>
      <c r="J28" s="7"/>
      <c r="K28" s="6">
        <v>14</v>
      </c>
      <c r="L28" s="7">
        <f t="shared" si="15"/>
        <v>20</v>
      </c>
      <c r="M28" s="6">
        <v>11</v>
      </c>
      <c r="N28" s="7">
        <f t="shared" si="5"/>
        <v>61.53846153846154</v>
      </c>
      <c r="O28" s="6"/>
      <c r="P28" s="7"/>
      <c r="Q28" s="6"/>
      <c r="R28" s="7">
        <f t="shared" si="18"/>
        <v>0</v>
      </c>
      <c r="S28" s="6"/>
      <c r="T28" s="7"/>
      <c r="U28" s="8">
        <f t="shared" si="9"/>
        <v>81.538461538461547</v>
      </c>
      <c r="V28" s="6">
        <f t="shared" si="10"/>
        <v>18</v>
      </c>
      <c r="W28" s="6">
        <f t="shared" si="11"/>
        <v>2</v>
      </c>
      <c r="X28" s="16">
        <f t="shared" si="12"/>
        <v>0.33333333333333331</v>
      </c>
    </row>
    <row r="29" spans="1:24" x14ac:dyDescent="0.3">
      <c r="A29" s="5">
        <f t="shared" si="0"/>
        <v>19</v>
      </c>
      <c r="B29" s="6" t="s">
        <v>660</v>
      </c>
      <c r="C29" s="6" t="s">
        <v>661</v>
      </c>
      <c r="D29" s="6" t="s">
        <v>278</v>
      </c>
      <c r="E29" s="6"/>
      <c r="F29" s="7">
        <f>IF(E29=0,,($E$9-E29)*$E$7*100/$E$9)</f>
        <v>0</v>
      </c>
      <c r="G29" s="6"/>
      <c r="H29" s="7">
        <f>IF(G29=0,,($E$9-G29)*$E$7*100/$E$9)</f>
        <v>0</v>
      </c>
      <c r="I29" s="6">
        <v>12</v>
      </c>
      <c r="J29" s="7">
        <f>IF(I29=0,,($I$9-I29)*$I$7*100/$I$9)</f>
        <v>42.857142857142854</v>
      </c>
      <c r="K29" s="6"/>
      <c r="L29" s="7">
        <f t="shared" si="15"/>
        <v>0</v>
      </c>
      <c r="M29" s="6"/>
      <c r="N29" s="7">
        <f t="shared" si="5"/>
        <v>0</v>
      </c>
      <c r="O29" s="6"/>
      <c r="P29" s="7">
        <f>IF(O29=0,,($O$9-O29)*$O$7*100/$O$9)</f>
        <v>0</v>
      </c>
      <c r="Q29" s="6"/>
      <c r="R29" s="7">
        <f t="shared" si="18"/>
        <v>0</v>
      </c>
      <c r="S29" s="6"/>
      <c r="T29" s="7">
        <f>IF(S29=0,,($S$9-S29)*$S$7*100/$S$9)</f>
        <v>0</v>
      </c>
      <c r="U29" s="8">
        <f t="shared" si="9"/>
        <v>42.857142857142854</v>
      </c>
      <c r="V29" s="6">
        <f t="shared" si="10"/>
        <v>19</v>
      </c>
      <c r="W29" s="6">
        <f t="shared" si="11"/>
        <v>1</v>
      </c>
      <c r="X29" s="18">
        <f t="shared" si="12"/>
        <v>0.16666666666666666</v>
      </c>
    </row>
    <row r="30" spans="1:24" x14ac:dyDescent="0.3">
      <c r="A30" s="5">
        <f t="shared" si="0"/>
        <v>20</v>
      </c>
      <c r="B30" s="6" t="s">
        <v>745</v>
      </c>
      <c r="C30" s="6" t="s">
        <v>128</v>
      </c>
      <c r="D30" s="6" t="s">
        <v>408</v>
      </c>
      <c r="E30" s="6"/>
      <c r="F30" s="7">
        <f>IF(E30=0,,($E$9-E30)*$E$7*100/$E$9)</f>
        <v>0</v>
      </c>
      <c r="G30" s="6"/>
      <c r="H30" s="7">
        <f>IF(G30=0,,($E$9-G30)*$E$7*100/$E$9)</f>
        <v>0</v>
      </c>
      <c r="I30" s="6"/>
      <c r="J30" s="7">
        <f>IF(I30=0,,($I$9-I30)*$I$7*100/$I$9)</f>
        <v>0</v>
      </c>
      <c r="K30" s="6">
        <v>13</v>
      </c>
      <c r="L30" s="7">
        <f t="shared" si="15"/>
        <v>40</v>
      </c>
      <c r="M30" s="6"/>
      <c r="N30" s="7">
        <f t="shared" si="5"/>
        <v>0</v>
      </c>
      <c r="O30" s="6"/>
      <c r="P30" s="7">
        <f>IF(O30=0,,($O$9-O30)*$O$7*100/$O$9)</f>
        <v>0</v>
      </c>
      <c r="Q30" s="6"/>
      <c r="R30" s="7">
        <f t="shared" si="18"/>
        <v>0</v>
      </c>
      <c r="S30" s="6"/>
      <c r="T30" s="7">
        <f>IF(S30=0,,($S$9-S30)*$S$7*100/$S$9)</f>
        <v>0</v>
      </c>
      <c r="U30" s="8">
        <f t="shared" si="9"/>
        <v>40</v>
      </c>
      <c r="V30" s="6">
        <f t="shared" si="10"/>
        <v>20</v>
      </c>
      <c r="W30" s="6">
        <f t="shared" si="11"/>
        <v>1</v>
      </c>
      <c r="X30" s="18">
        <f t="shared" si="12"/>
        <v>0.16666666666666666</v>
      </c>
    </row>
    <row r="31" spans="1:24" x14ac:dyDescent="0.3">
      <c r="A31" s="5">
        <v>21</v>
      </c>
      <c r="B31" s="6" t="s">
        <v>662</v>
      </c>
      <c r="C31" s="6" t="s">
        <v>663</v>
      </c>
      <c r="D31" s="6" t="s">
        <v>278</v>
      </c>
      <c r="E31" s="6"/>
      <c r="F31" s="7">
        <f>IF(E31=0,,($E$9-E31)*$E$7*100/$E$9)</f>
        <v>0</v>
      </c>
      <c r="G31" s="6"/>
      <c r="H31" s="7">
        <f>IF(G31=0,,($E$9-G31)*$E$7*100/$E$9)</f>
        <v>0</v>
      </c>
      <c r="I31" s="6">
        <v>13</v>
      </c>
      <c r="J31" s="7">
        <f>IF(I31=0,,($I$9-I31)*$I$7*100/$I$9)</f>
        <v>21.428571428571427</v>
      </c>
      <c r="K31" s="6"/>
      <c r="L31" s="7">
        <f t="shared" si="15"/>
        <v>0</v>
      </c>
      <c r="M31" s="6">
        <v>13</v>
      </c>
      <c r="N31" s="7">
        <f>31/2</f>
        <v>15.5</v>
      </c>
      <c r="O31" s="6"/>
      <c r="P31" s="7">
        <f>IF(O31=0,,($O$9-O31)*$O$7*100/$O$9)</f>
        <v>0</v>
      </c>
      <c r="Q31" s="6"/>
      <c r="R31" s="7">
        <f t="shared" si="18"/>
        <v>0</v>
      </c>
      <c r="S31" s="6"/>
      <c r="T31" s="7">
        <f>IF(S31=0,,($S$9-S31)*$S$7*100/$S$9)</f>
        <v>0</v>
      </c>
      <c r="U31" s="8">
        <f t="shared" si="9"/>
        <v>36.928571428571431</v>
      </c>
      <c r="V31" s="6">
        <f t="shared" si="10"/>
        <v>21</v>
      </c>
      <c r="W31" s="6">
        <f t="shared" si="11"/>
        <v>2</v>
      </c>
      <c r="X31" s="18">
        <f t="shared" si="12"/>
        <v>0.33333333333333331</v>
      </c>
    </row>
    <row r="32" spans="1:24" x14ac:dyDescent="0.3">
      <c r="A32" s="5">
        <v>22</v>
      </c>
      <c r="B32" s="6" t="s">
        <v>413</v>
      </c>
      <c r="C32" s="6" t="s">
        <v>414</v>
      </c>
      <c r="D32" s="6" t="s">
        <v>408</v>
      </c>
      <c r="E32" s="6">
        <v>9</v>
      </c>
      <c r="F32" s="7">
        <f>IF(E32=0,,($E$9-E32)*$E$7*100/$E$9)</f>
        <v>30</v>
      </c>
      <c r="G32" s="6"/>
      <c r="H32" s="7">
        <f>IF(G32=0,,($G$9-G32)*$G$7*100/$G$9)</f>
        <v>0</v>
      </c>
      <c r="I32" s="6"/>
      <c r="J32" s="7">
        <f>IF(I32=0,,($I$9-I32)*$I$7*100/$I$9)</f>
        <v>0</v>
      </c>
      <c r="K32" s="6"/>
      <c r="L32" s="7">
        <f t="shared" si="15"/>
        <v>0</v>
      </c>
      <c r="M32" s="6"/>
      <c r="N32" s="7">
        <f>IF(M32=0,,($M$9-M32)*$M$7*100/$M$9)</f>
        <v>0</v>
      </c>
      <c r="O32" s="6"/>
      <c r="P32" s="7">
        <f>IF(O32=0,,($O$9-O32)*$O$7*100/$O$9)</f>
        <v>0</v>
      </c>
      <c r="Q32" s="6"/>
      <c r="R32" s="7">
        <f t="shared" si="18"/>
        <v>0</v>
      </c>
      <c r="S32" s="6"/>
      <c r="T32" s="7">
        <f>IF(S32=0,,($S$9-S32)*$S$7*100/$S$9)</f>
        <v>0</v>
      </c>
      <c r="U32" s="8">
        <f t="shared" si="9"/>
        <v>30</v>
      </c>
      <c r="V32" s="6">
        <f t="shared" si="10"/>
        <v>22</v>
      </c>
      <c r="W32" s="6">
        <f t="shared" si="11"/>
        <v>1</v>
      </c>
      <c r="X32" s="18">
        <f t="shared" si="12"/>
        <v>0.16666666666666666</v>
      </c>
    </row>
    <row r="33" spans="1:24" x14ac:dyDescent="0.3">
      <c r="A33" s="5">
        <v>23</v>
      </c>
      <c r="B33" s="6" t="s">
        <v>748</v>
      </c>
      <c r="C33" s="6" t="s">
        <v>749</v>
      </c>
      <c r="D33" s="6" t="s">
        <v>408</v>
      </c>
      <c r="E33" s="6"/>
      <c r="F33" s="7"/>
      <c r="G33" s="6"/>
      <c r="H33" s="7"/>
      <c r="I33" s="6"/>
      <c r="J33" s="7"/>
      <c r="K33" s="6">
        <v>15</v>
      </c>
      <c r="L33" s="7">
        <f>20/2</f>
        <v>10</v>
      </c>
      <c r="M33" s="6"/>
      <c r="N33" s="7">
        <f>IF(M33=0,,($M$9-M33)*$M$7*100/$M$9)</f>
        <v>0</v>
      </c>
      <c r="O33" s="6"/>
      <c r="P33" s="7"/>
      <c r="Q33" s="6"/>
      <c r="R33" s="7">
        <f t="shared" si="18"/>
        <v>0</v>
      </c>
      <c r="S33" s="6"/>
      <c r="T33" s="7"/>
      <c r="U33" s="8">
        <f t="shared" si="9"/>
        <v>10</v>
      </c>
      <c r="V33" s="6">
        <f t="shared" si="10"/>
        <v>23</v>
      </c>
      <c r="W33" s="6"/>
      <c r="X33" s="18"/>
    </row>
    <row r="34" spans="1:24" x14ac:dyDescent="0.3">
      <c r="A34" s="5">
        <f t="shared" si="0"/>
        <v>24</v>
      </c>
      <c r="B34" s="6" t="s">
        <v>664</v>
      </c>
      <c r="C34" s="6" t="s">
        <v>323</v>
      </c>
      <c r="D34" s="6" t="s">
        <v>246</v>
      </c>
      <c r="E34" s="6"/>
      <c r="F34" s="7">
        <f>IF(E34=0,,($E$9-E34)*$E$7*100/$E$9)</f>
        <v>0</v>
      </c>
      <c r="G34" s="6"/>
      <c r="H34" s="7">
        <f>IF(G34=0,,($E$9-G34)*$E$7*100/$E$9)</f>
        <v>0</v>
      </c>
      <c r="I34" s="6">
        <v>14</v>
      </c>
      <c r="J34" s="7">
        <v>6.5</v>
      </c>
      <c r="K34" s="6"/>
      <c r="L34" s="7">
        <f>IF(K34=0,,($K$9-K34)*$K$7*100/$K$9)</f>
        <v>0</v>
      </c>
      <c r="M34" s="6"/>
      <c r="N34" s="7">
        <f>IF(M34=0,,($M$9-M34)*$M$7*100/$M$9)</f>
        <v>0</v>
      </c>
      <c r="O34" s="6"/>
      <c r="P34" s="7">
        <f>IF(O34=0,,($O$9-O34)*$O$7*100/$O$9)</f>
        <v>0</v>
      </c>
      <c r="Q34" s="6"/>
      <c r="R34" s="7">
        <f t="shared" si="18"/>
        <v>0</v>
      </c>
      <c r="S34" s="6"/>
      <c r="T34" s="7">
        <f>IF(S34=0,,($S$9-S34)*$S$7*100/$S$9)</f>
        <v>0</v>
      </c>
      <c r="U34" s="8">
        <f t="shared" si="9"/>
        <v>6.5</v>
      </c>
      <c r="V34" s="6">
        <f t="shared" si="10"/>
        <v>24</v>
      </c>
      <c r="W34" s="6">
        <f t="shared" si="11"/>
        <v>1</v>
      </c>
      <c r="X34" s="18">
        <f t="shared" si="12"/>
        <v>0.16666666666666666</v>
      </c>
    </row>
    <row r="35" spans="1:24" x14ac:dyDescent="0.3">
      <c r="A35" s="45" t="s">
        <v>11</v>
      </c>
      <c r="B35" s="45"/>
      <c r="C35" s="46"/>
      <c r="E35">
        <f>COUNTA(E11:E34)</f>
        <v>10</v>
      </c>
      <c r="G35">
        <f>COUNTA(I11:I34)</f>
        <v>13</v>
      </c>
      <c r="I35">
        <f>COUNTA(K11:K34)</f>
        <v>15</v>
      </c>
      <c r="K35">
        <f>COUNTA(M11:M34)</f>
        <v>13</v>
      </c>
      <c r="M35">
        <f>COUNTA(O11:O34)</f>
        <v>0</v>
      </c>
      <c r="O35">
        <f>COUNTA(Q11:Q34)</f>
        <v>10</v>
      </c>
      <c r="Q35">
        <f>COUNTA(S11:S34)</f>
        <v>0</v>
      </c>
    </row>
    <row r="36" spans="1:24" x14ac:dyDescent="0.3">
      <c r="A36" s="55" t="s">
        <v>21</v>
      </c>
      <c r="B36" s="55"/>
      <c r="C36" s="55"/>
      <c r="E36" s="15">
        <f>E35/$G$2</f>
        <v>0.41666666666666669</v>
      </c>
      <c r="G36" s="15">
        <f>G35/$G$2</f>
        <v>0.54166666666666663</v>
      </c>
      <c r="I36" s="15">
        <f>I35/$G$2</f>
        <v>0.625</v>
      </c>
      <c r="K36" s="15">
        <f>K35/$G$2</f>
        <v>0.54166666666666663</v>
      </c>
      <c r="M36" s="15">
        <f>M35/$G$2</f>
        <v>0</v>
      </c>
      <c r="O36" s="15">
        <f>O35/$G$2</f>
        <v>0.41666666666666669</v>
      </c>
      <c r="Q36" s="15">
        <f>Q35/$G$2</f>
        <v>0</v>
      </c>
    </row>
    <row r="45" spans="1:24" x14ac:dyDescent="0.3">
      <c r="N45" s="10"/>
    </row>
  </sheetData>
  <sortState xmlns:xlrd2="http://schemas.microsoft.com/office/spreadsheetml/2017/richdata2" ref="B11:U34">
    <sortCondition descending="1" ref="U11:U34"/>
  </sortState>
  <mergeCells count="37"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  <mergeCell ref="A36:C36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A35:C35"/>
    <mergeCell ref="K9:L9"/>
    <mergeCell ref="M9:N9"/>
    <mergeCell ref="M8:N8"/>
    <mergeCell ref="Q8:R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79" zoomScaleNormal="79" workbookViewId="0">
      <pane xSplit="3" ySplit="10" topLeftCell="D13" activePane="bottomRight" state="frozenSplit"/>
      <selection activeCell="D26" sqref="D26"/>
      <selection pane="topRight" activeCell="D26" sqref="D26"/>
      <selection pane="bottomLeft" activeCell="D26" sqref="D26"/>
      <selection pane="bottomRight" activeCell="D36" sqref="D36"/>
    </sheetView>
  </sheetViews>
  <sheetFormatPr baseColWidth="10" defaultRowHeight="14.4" x14ac:dyDescent="0.3"/>
  <cols>
    <col min="1" max="1" width="25.33203125" bestFit="1" customWidth="1"/>
    <col min="2" max="2" width="28.109375" bestFit="1" customWidth="1"/>
    <col min="3" max="3" width="12" bestFit="1" customWidth="1"/>
    <col min="4" max="4" width="24" bestFit="1" customWidth="1"/>
    <col min="5" max="5" width="8.44140625" bestFit="1" customWidth="1"/>
    <col min="6" max="6" width="21.44140625" customWidth="1"/>
    <col min="7" max="7" width="8.44140625" bestFit="1" customWidth="1"/>
    <col min="8" max="8" width="16.6640625" customWidth="1"/>
    <col min="9" max="9" width="8.44140625" bestFit="1" customWidth="1"/>
    <col min="10" max="10" width="24.109375" customWidth="1"/>
    <col min="11" max="11" width="8.44140625" bestFit="1" customWidth="1"/>
    <col min="12" max="12" width="31.109375" customWidth="1"/>
    <col min="13" max="13" width="8.44140625" bestFit="1" customWidth="1"/>
    <col min="14" max="14" width="21.6640625" customWidth="1"/>
    <col min="15" max="15" width="8.44140625" bestFit="1" customWidth="1"/>
    <col min="16" max="16" width="21.109375" customWidth="1"/>
    <col min="17" max="17" width="8.44140625" bestFit="1" customWidth="1"/>
    <col min="18" max="18" width="24.44140625" customWidth="1"/>
    <col min="19" max="19" width="15.44140625" bestFit="1" customWidth="1"/>
    <col min="20" max="20" width="25.33203125" bestFit="1" customWidth="1"/>
    <col min="21" max="21" width="17.109375" bestFit="1" customWidth="1"/>
    <col min="22" max="22" width="28.109375" bestFit="1" customWidth="1"/>
  </cols>
  <sheetData>
    <row r="1" spans="1:24" ht="31.2" x14ac:dyDescent="0.6">
      <c r="A1" s="47" t="s">
        <v>112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24" x14ac:dyDescent="0.3">
      <c r="E2" s="54" t="s">
        <v>18</v>
      </c>
      <c r="F2" s="54"/>
      <c r="G2" s="14">
        <f>COUNTA(B11:B56)</f>
        <v>41</v>
      </c>
    </row>
    <row r="3" spans="1:24" x14ac:dyDescent="0.3">
      <c r="B3" s="2"/>
      <c r="E3" s="54" t="s">
        <v>19</v>
      </c>
      <c r="F3" s="54"/>
      <c r="G3" s="14">
        <f>COUNTA(E8:T8)</f>
        <v>6</v>
      </c>
    </row>
    <row r="4" spans="1:24" x14ac:dyDescent="0.3">
      <c r="B4" s="2"/>
      <c r="C4" s="3"/>
    </row>
    <row r="6" spans="1:24" x14ac:dyDescent="0.3">
      <c r="D6" s="1" t="s">
        <v>0</v>
      </c>
      <c r="E6" s="41" t="s">
        <v>15</v>
      </c>
      <c r="F6" s="41"/>
      <c r="G6" s="41" t="s">
        <v>16</v>
      </c>
      <c r="H6" s="41"/>
      <c r="I6" s="41" t="s">
        <v>473</v>
      </c>
      <c r="J6" s="41"/>
      <c r="K6" s="41" t="s">
        <v>483</v>
      </c>
      <c r="L6" s="41"/>
      <c r="M6" s="41" t="s">
        <v>115</v>
      </c>
      <c r="N6" s="41"/>
      <c r="O6" s="42" t="s">
        <v>116</v>
      </c>
      <c r="P6" s="43"/>
      <c r="Q6" s="41"/>
      <c r="R6" s="41"/>
      <c r="S6" s="41"/>
      <c r="T6" s="41"/>
    </row>
    <row r="7" spans="1:24" x14ac:dyDescent="0.3">
      <c r="D7" s="1" t="s">
        <v>10</v>
      </c>
      <c r="E7" s="42">
        <v>2</v>
      </c>
      <c r="F7" s="43"/>
      <c r="G7" s="42">
        <v>2</v>
      </c>
      <c r="H7" s="43"/>
      <c r="I7" s="42">
        <v>2</v>
      </c>
      <c r="J7" s="43"/>
      <c r="K7" s="42">
        <v>2</v>
      </c>
      <c r="L7" s="43"/>
      <c r="M7" s="42">
        <v>2</v>
      </c>
      <c r="N7" s="43"/>
      <c r="O7" s="42">
        <v>2</v>
      </c>
      <c r="P7" s="43"/>
      <c r="Q7" s="42"/>
      <c r="R7" s="43"/>
      <c r="S7" s="42"/>
      <c r="T7" s="43"/>
    </row>
    <row r="8" spans="1:24" x14ac:dyDescent="0.3">
      <c r="D8" s="1" t="s">
        <v>1</v>
      </c>
      <c r="E8" s="44">
        <v>45207</v>
      </c>
      <c r="F8" s="44"/>
      <c r="G8" s="58">
        <v>45241</v>
      </c>
      <c r="H8" s="59"/>
      <c r="I8" s="58">
        <v>45249</v>
      </c>
      <c r="J8" s="59"/>
      <c r="K8" s="58">
        <v>45256</v>
      </c>
      <c r="L8" s="59"/>
      <c r="M8" s="58">
        <v>45339</v>
      </c>
      <c r="N8" s="59"/>
      <c r="O8" s="58">
        <v>45410</v>
      </c>
      <c r="P8" s="59"/>
      <c r="Q8" s="44"/>
      <c r="R8" s="44"/>
      <c r="S8" s="44"/>
      <c r="T8" s="44"/>
    </row>
    <row r="9" spans="1:24" x14ac:dyDescent="0.3">
      <c r="D9" s="1" t="s">
        <v>2</v>
      </c>
      <c r="E9" s="41">
        <v>9</v>
      </c>
      <c r="F9" s="41"/>
      <c r="G9" s="42">
        <v>14</v>
      </c>
      <c r="H9" s="43"/>
      <c r="I9" s="42">
        <v>17</v>
      </c>
      <c r="J9" s="43"/>
      <c r="K9" s="42">
        <v>4</v>
      </c>
      <c r="L9" s="43"/>
      <c r="M9" s="42">
        <v>32</v>
      </c>
      <c r="N9" s="43"/>
      <c r="O9" s="42">
        <v>0</v>
      </c>
      <c r="P9" s="43"/>
      <c r="Q9" s="41">
        <v>0</v>
      </c>
      <c r="R9" s="41"/>
      <c r="S9" s="41">
        <v>0</v>
      </c>
      <c r="T9" s="41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20</v>
      </c>
      <c r="X10" s="1" t="s">
        <v>22</v>
      </c>
    </row>
    <row r="11" spans="1:24" x14ac:dyDescent="0.3">
      <c r="A11" s="19">
        <f t="shared" ref="A11:A56" si="0">V11</f>
        <v>1</v>
      </c>
      <c r="B11" s="13" t="s">
        <v>370</v>
      </c>
      <c r="C11" s="13" t="s">
        <v>430</v>
      </c>
      <c r="D11" s="13" t="s">
        <v>408</v>
      </c>
      <c r="E11" s="13"/>
      <c r="F11" s="23">
        <f t="shared" ref="F11:F56" si="1">IF(E11=0,,($E$9-E11)*$E$7*100/$E$9)</f>
        <v>0</v>
      </c>
      <c r="G11" s="13">
        <v>5</v>
      </c>
      <c r="H11" s="23">
        <f t="shared" ref="H11:H39" si="2">IF(G11=0,,($G$9-G11)*$G$7*100/$G$9)</f>
        <v>128.57142857142858</v>
      </c>
      <c r="I11" s="13">
        <v>1</v>
      </c>
      <c r="J11" s="23">
        <f t="shared" ref="J11:J55" si="3">IF(I11=0,,($I$9-I11)*$I$7*100/$I$9)</f>
        <v>188.23529411764707</v>
      </c>
      <c r="K11" s="6"/>
      <c r="L11" s="7">
        <f t="shared" ref="L11:L19" si="4">IF(K11=0,,($K$9-K11)*$K$7*100/$K$9)</f>
        <v>0</v>
      </c>
      <c r="M11" s="13">
        <v>1</v>
      </c>
      <c r="N11" s="23">
        <f t="shared" ref="N11:N50" si="5">IF(M11=0,,($M$9-M11)*$M$7*100/$M$9)</f>
        <v>193.75</v>
      </c>
      <c r="O11" s="6"/>
      <c r="P11" s="6">
        <f t="shared" ref="P11:P56" si="6">IF(O11=0,,($O$9-O11)*$O$7*100/$O$9)</f>
        <v>0</v>
      </c>
      <c r="Q11" s="6"/>
      <c r="R11" s="7">
        <f t="shared" ref="R11:R56" si="7">IF(Q11=0,,($Q$9-Q11)*$Q$7*100/$Q$9)</f>
        <v>0</v>
      </c>
      <c r="S11" s="6"/>
      <c r="T11" s="7">
        <f t="shared" ref="T11:T56" si="8">IF(S11=0,,($S$9-S11)*$S$7*100/$S$9)</f>
        <v>0</v>
      </c>
      <c r="U11" s="8">
        <f t="shared" ref="U11:U56" si="9">P11+N11+L11+J11+H11+F11</f>
        <v>510.55672268907563</v>
      </c>
      <c r="V11" s="6">
        <f t="shared" ref="V11:V56" si="10">ROW(B11)-10</f>
        <v>1</v>
      </c>
      <c r="W11" s="6">
        <f t="shared" ref="W11:W56" si="11">COUNTA(E11,G11,K11,M11,O11,Q11,S11)</f>
        <v>2</v>
      </c>
      <c r="X11" s="16">
        <f t="shared" ref="X11:X56" si="12">W11/$G$3</f>
        <v>0.33333333333333331</v>
      </c>
    </row>
    <row r="12" spans="1:24" x14ac:dyDescent="0.3">
      <c r="A12" s="19">
        <f t="shared" si="0"/>
        <v>2</v>
      </c>
      <c r="B12" s="13" t="s">
        <v>431</v>
      </c>
      <c r="C12" s="13" t="s">
        <v>233</v>
      </c>
      <c r="D12" s="13" t="s">
        <v>408</v>
      </c>
      <c r="E12" s="13"/>
      <c r="F12" s="23">
        <f t="shared" si="1"/>
        <v>0</v>
      </c>
      <c r="G12" s="13">
        <v>6</v>
      </c>
      <c r="H12" s="23">
        <f t="shared" si="2"/>
        <v>114.28571428571429</v>
      </c>
      <c r="I12" s="13">
        <v>4</v>
      </c>
      <c r="J12" s="23">
        <f t="shared" si="3"/>
        <v>152.94117647058823</v>
      </c>
      <c r="K12" s="6"/>
      <c r="L12" s="7">
        <f t="shared" si="4"/>
        <v>0</v>
      </c>
      <c r="M12" s="13">
        <v>3</v>
      </c>
      <c r="N12" s="23">
        <f t="shared" si="5"/>
        <v>181.25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448.47689075630251</v>
      </c>
      <c r="V12" s="6">
        <f t="shared" si="10"/>
        <v>2</v>
      </c>
      <c r="W12" s="6">
        <f t="shared" si="11"/>
        <v>2</v>
      </c>
      <c r="X12" s="16">
        <f t="shared" si="12"/>
        <v>0.33333333333333331</v>
      </c>
    </row>
    <row r="13" spans="1:24" x14ac:dyDescent="0.3">
      <c r="A13" s="19">
        <f t="shared" si="0"/>
        <v>3</v>
      </c>
      <c r="B13" s="13" t="s">
        <v>425</v>
      </c>
      <c r="C13" s="13" t="s">
        <v>426</v>
      </c>
      <c r="D13" s="13" t="s">
        <v>408</v>
      </c>
      <c r="E13" s="13"/>
      <c r="F13" s="23">
        <f t="shared" si="1"/>
        <v>0</v>
      </c>
      <c r="G13" s="13">
        <v>1</v>
      </c>
      <c r="H13" s="23">
        <f t="shared" si="2"/>
        <v>185.71428571428572</v>
      </c>
      <c r="I13" s="13">
        <v>7</v>
      </c>
      <c r="J13" s="23">
        <f t="shared" si="3"/>
        <v>117.64705882352941</v>
      </c>
      <c r="K13" s="6"/>
      <c r="L13" s="7">
        <f t="shared" si="4"/>
        <v>0</v>
      </c>
      <c r="M13" s="13">
        <v>14</v>
      </c>
      <c r="N13" s="23">
        <f t="shared" si="5"/>
        <v>112.5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415.86134453781511</v>
      </c>
      <c r="V13" s="6">
        <f t="shared" si="10"/>
        <v>3</v>
      </c>
      <c r="W13" s="6">
        <f t="shared" si="11"/>
        <v>2</v>
      </c>
      <c r="X13" s="16">
        <f t="shared" si="12"/>
        <v>0.33333333333333331</v>
      </c>
    </row>
    <row r="14" spans="1:24" x14ac:dyDescent="0.3">
      <c r="A14" s="19">
        <f t="shared" si="0"/>
        <v>4</v>
      </c>
      <c r="B14" s="13" t="s">
        <v>170</v>
      </c>
      <c r="C14" s="13" t="s">
        <v>171</v>
      </c>
      <c r="D14" s="13" t="s">
        <v>164</v>
      </c>
      <c r="E14" s="13">
        <v>6</v>
      </c>
      <c r="F14" s="23">
        <f t="shared" si="1"/>
        <v>66.666666666666671</v>
      </c>
      <c r="G14" s="13">
        <v>2</v>
      </c>
      <c r="H14" s="23">
        <f t="shared" si="2"/>
        <v>171.42857142857142</v>
      </c>
      <c r="I14" s="13"/>
      <c r="J14" s="23">
        <f t="shared" si="3"/>
        <v>0</v>
      </c>
      <c r="K14" s="6"/>
      <c r="L14" s="7">
        <f t="shared" si="4"/>
        <v>0</v>
      </c>
      <c r="M14" s="13">
        <v>9</v>
      </c>
      <c r="N14" s="23">
        <f t="shared" si="5"/>
        <v>143.75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381.84523809523813</v>
      </c>
      <c r="V14" s="6">
        <f t="shared" si="10"/>
        <v>4</v>
      </c>
      <c r="W14" s="6">
        <f t="shared" si="11"/>
        <v>3</v>
      </c>
      <c r="X14" s="16">
        <f t="shared" si="12"/>
        <v>0.5</v>
      </c>
    </row>
    <row r="15" spans="1:24" x14ac:dyDescent="0.3">
      <c r="A15" s="19">
        <f t="shared" si="0"/>
        <v>5</v>
      </c>
      <c r="B15" s="13" t="s">
        <v>162</v>
      </c>
      <c r="C15" s="13" t="s">
        <v>163</v>
      </c>
      <c r="D15" s="13" t="s">
        <v>164</v>
      </c>
      <c r="E15" s="13">
        <v>1</v>
      </c>
      <c r="F15" s="23">
        <f t="shared" si="1"/>
        <v>177.77777777777777</v>
      </c>
      <c r="G15" s="13">
        <v>7</v>
      </c>
      <c r="H15" s="23">
        <f t="shared" si="2"/>
        <v>100</v>
      </c>
      <c r="I15" s="13"/>
      <c r="J15" s="23">
        <f t="shared" si="3"/>
        <v>0</v>
      </c>
      <c r="K15" s="6"/>
      <c r="L15" s="7">
        <f t="shared" si="4"/>
        <v>0</v>
      </c>
      <c r="M15" s="13">
        <v>19</v>
      </c>
      <c r="N15" s="23">
        <f t="shared" si="5"/>
        <v>81.25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359.02777777777777</v>
      </c>
      <c r="V15" s="6">
        <f t="shared" si="10"/>
        <v>5</v>
      </c>
      <c r="W15" s="6">
        <f t="shared" si="11"/>
        <v>3</v>
      </c>
      <c r="X15" s="16">
        <f t="shared" si="12"/>
        <v>0.5</v>
      </c>
    </row>
    <row r="16" spans="1:24" x14ac:dyDescent="0.3">
      <c r="A16" s="19">
        <f t="shared" si="0"/>
        <v>6</v>
      </c>
      <c r="B16" s="13" t="s">
        <v>168</v>
      </c>
      <c r="C16" s="13" t="s">
        <v>163</v>
      </c>
      <c r="D16" s="13" t="s">
        <v>164</v>
      </c>
      <c r="E16" s="13">
        <v>4</v>
      </c>
      <c r="F16" s="23">
        <f t="shared" si="1"/>
        <v>111.11111111111111</v>
      </c>
      <c r="G16" s="13"/>
      <c r="H16" s="23">
        <f t="shared" si="2"/>
        <v>0</v>
      </c>
      <c r="I16" s="13">
        <v>5</v>
      </c>
      <c r="J16" s="23">
        <f t="shared" si="3"/>
        <v>141.1764705882353</v>
      </c>
      <c r="K16" s="6"/>
      <c r="L16" s="7">
        <f t="shared" si="4"/>
        <v>0</v>
      </c>
      <c r="M16" s="13">
        <v>16</v>
      </c>
      <c r="N16" s="23">
        <f t="shared" si="5"/>
        <v>100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352.28758169934645</v>
      </c>
      <c r="V16" s="6">
        <f t="shared" si="10"/>
        <v>6</v>
      </c>
      <c r="W16" s="6">
        <f t="shared" si="11"/>
        <v>2</v>
      </c>
      <c r="X16" s="16">
        <f t="shared" si="12"/>
        <v>0.33333333333333331</v>
      </c>
    </row>
    <row r="17" spans="1:24" x14ac:dyDescent="0.3">
      <c r="A17" s="19">
        <f t="shared" si="0"/>
        <v>7</v>
      </c>
      <c r="B17" s="13" t="s">
        <v>169</v>
      </c>
      <c r="C17" s="13" t="s">
        <v>172</v>
      </c>
      <c r="D17" s="13" t="s">
        <v>164</v>
      </c>
      <c r="E17" s="13">
        <v>5</v>
      </c>
      <c r="F17" s="23">
        <f t="shared" si="1"/>
        <v>88.888888888888886</v>
      </c>
      <c r="G17" s="13">
        <v>8</v>
      </c>
      <c r="H17" s="23">
        <f t="shared" si="2"/>
        <v>85.714285714285708</v>
      </c>
      <c r="I17" s="13"/>
      <c r="J17" s="23">
        <f t="shared" si="3"/>
        <v>0</v>
      </c>
      <c r="K17" s="6"/>
      <c r="L17" s="7">
        <f t="shared" si="4"/>
        <v>0</v>
      </c>
      <c r="M17" s="13">
        <v>7</v>
      </c>
      <c r="N17" s="23">
        <f t="shared" si="5"/>
        <v>156.25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330.85317460317458</v>
      </c>
      <c r="V17" s="6">
        <f t="shared" si="10"/>
        <v>7</v>
      </c>
      <c r="W17" s="6">
        <f t="shared" si="11"/>
        <v>3</v>
      </c>
      <c r="X17" s="16">
        <f t="shared" si="12"/>
        <v>0.5</v>
      </c>
    </row>
    <row r="18" spans="1:24" x14ac:dyDescent="0.3">
      <c r="A18" s="19">
        <f t="shared" si="0"/>
        <v>8</v>
      </c>
      <c r="B18" s="13" t="s">
        <v>429</v>
      </c>
      <c r="C18" s="13" t="s">
        <v>385</v>
      </c>
      <c r="D18" s="13" t="s">
        <v>180</v>
      </c>
      <c r="E18" s="13"/>
      <c r="F18" s="23">
        <f t="shared" si="1"/>
        <v>0</v>
      </c>
      <c r="G18" s="13">
        <v>3</v>
      </c>
      <c r="H18" s="23">
        <f t="shared" si="2"/>
        <v>157.14285714285714</v>
      </c>
      <c r="I18" s="13">
        <v>3</v>
      </c>
      <c r="J18" s="23">
        <f t="shared" si="3"/>
        <v>164.70588235294119</v>
      </c>
      <c r="K18" s="6"/>
      <c r="L18" s="7">
        <f t="shared" si="4"/>
        <v>0</v>
      </c>
      <c r="M18" s="13"/>
      <c r="N18" s="23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321.84873949579833</v>
      </c>
      <c r="V18" s="6">
        <f t="shared" si="10"/>
        <v>8</v>
      </c>
      <c r="W18" s="6">
        <f t="shared" si="11"/>
        <v>1</v>
      </c>
      <c r="X18" s="16">
        <f t="shared" si="12"/>
        <v>0.16666666666666666</v>
      </c>
    </row>
    <row r="19" spans="1:24" x14ac:dyDescent="0.3">
      <c r="A19" s="19">
        <f t="shared" si="0"/>
        <v>9</v>
      </c>
      <c r="B19" s="13" t="s">
        <v>433</v>
      </c>
      <c r="C19" s="13" t="s">
        <v>391</v>
      </c>
      <c r="D19" s="13" t="s">
        <v>408</v>
      </c>
      <c r="E19" s="13"/>
      <c r="F19" s="23">
        <f t="shared" si="1"/>
        <v>0</v>
      </c>
      <c r="G19" s="13">
        <v>10</v>
      </c>
      <c r="H19" s="23">
        <f t="shared" si="2"/>
        <v>57.142857142857146</v>
      </c>
      <c r="I19" s="13"/>
      <c r="J19" s="23">
        <f t="shared" si="3"/>
        <v>0</v>
      </c>
      <c r="K19" s="6"/>
      <c r="L19" s="7">
        <f t="shared" si="4"/>
        <v>0</v>
      </c>
      <c r="M19" s="13">
        <v>2</v>
      </c>
      <c r="N19" s="23">
        <f t="shared" si="5"/>
        <v>187.5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244.64285714285714</v>
      </c>
      <c r="V19" s="6">
        <f t="shared" si="10"/>
        <v>9</v>
      </c>
      <c r="W19" s="6">
        <f t="shared" si="11"/>
        <v>2</v>
      </c>
      <c r="X19" s="16">
        <f t="shared" si="12"/>
        <v>0.33333333333333331</v>
      </c>
    </row>
    <row r="20" spans="1:24" x14ac:dyDescent="0.3">
      <c r="A20" s="19">
        <f t="shared" si="0"/>
        <v>10</v>
      </c>
      <c r="B20" s="13" t="s">
        <v>695</v>
      </c>
      <c r="C20" s="13" t="s">
        <v>696</v>
      </c>
      <c r="D20" s="13" t="s">
        <v>561</v>
      </c>
      <c r="E20" s="6"/>
      <c r="F20" s="7">
        <f t="shared" si="1"/>
        <v>0</v>
      </c>
      <c r="G20" s="6"/>
      <c r="H20" s="7">
        <f t="shared" si="2"/>
        <v>0</v>
      </c>
      <c r="I20" s="6"/>
      <c r="J20" s="23">
        <f t="shared" si="3"/>
        <v>0</v>
      </c>
      <c r="K20" s="6"/>
      <c r="L20" s="7">
        <f>IF(K20=0,,($M$9-K20)*$M$7*100/$M$9)</f>
        <v>0</v>
      </c>
      <c r="M20" s="13">
        <v>3</v>
      </c>
      <c r="N20" s="23">
        <f t="shared" si="5"/>
        <v>181.25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181.25</v>
      </c>
      <c r="V20" s="6">
        <f t="shared" si="10"/>
        <v>10</v>
      </c>
      <c r="W20" s="6">
        <f t="shared" si="11"/>
        <v>1</v>
      </c>
      <c r="X20" s="16">
        <f t="shared" si="12"/>
        <v>0.16666666666666666</v>
      </c>
    </row>
    <row r="21" spans="1:24" x14ac:dyDescent="0.3">
      <c r="A21" s="19">
        <f t="shared" si="0"/>
        <v>11</v>
      </c>
      <c r="B21" s="13" t="s">
        <v>437</v>
      </c>
      <c r="C21" s="13" t="s">
        <v>438</v>
      </c>
      <c r="D21" s="13" t="s">
        <v>408</v>
      </c>
      <c r="E21" s="13"/>
      <c r="F21" s="23">
        <f t="shared" si="1"/>
        <v>0</v>
      </c>
      <c r="G21" s="13">
        <v>14</v>
      </c>
      <c r="H21" s="23">
        <f t="shared" si="2"/>
        <v>0</v>
      </c>
      <c r="I21" s="13">
        <v>11</v>
      </c>
      <c r="J21" s="23">
        <f t="shared" si="3"/>
        <v>70.588235294117652</v>
      </c>
      <c r="K21" s="6"/>
      <c r="L21" s="7">
        <f>IF(K21=0,,($K$9-K21)*$K$7*100/$K$9)</f>
        <v>0</v>
      </c>
      <c r="M21" s="13">
        <v>15</v>
      </c>
      <c r="N21" s="23">
        <f t="shared" si="5"/>
        <v>106.25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176.83823529411765</v>
      </c>
      <c r="V21" s="6">
        <f t="shared" si="10"/>
        <v>11</v>
      </c>
      <c r="W21" s="6">
        <f t="shared" si="11"/>
        <v>2</v>
      </c>
      <c r="X21" s="16">
        <f t="shared" si="12"/>
        <v>0.33333333333333331</v>
      </c>
    </row>
    <row r="22" spans="1:24" x14ac:dyDescent="0.3">
      <c r="A22" s="19">
        <f t="shared" si="0"/>
        <v>12</v>
      </c>
      <c r="B22" s="13" t="s">
        <v>697</v>
      </c>
      <c r="C22" s="13" t="s">
        <v>348</v>
      </c>
      <c r="D22" s="13" t="s">
        <v>491</v>
      </c>
      <c r="E22" s="6"/>
      <c r="F22" s="7">
        <f t="shared" si="1"/>
        <v>0</v>
      </c>
      <c r="G22" s="6"/>
      <c r="H22" s="7">
        <f t="shared" si="2"/>
        <v>0</v>
      </c>
      <c r="I22" s="6"/>
      <c r="J22" s="23">
        <f t="shared" si="3"/>
        <v>0</v>
      </c>
      <c r="K22" s="6"/>
      <c r="L22" s="7">
        <f>IF(K22=0,,($M$9-K22)*$M$7*100/$M$9)</f>
        <v>0</v>
      </c>
      <c r="M22" s="13">
        <v>5</v>
      </c>
      <c r="N22" s="23">
        <f t="shared" si="5"/>
        <v>168.75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168.75</v>
      </c>
      <c r="V22" s="6">
        <f t="shared" si="10"/>
        <v>12</v>
      </c>
      <c r="W22" s="6">
        <f t="shared" si="11"/>
        <v>1</v>
      </c>
      <c r="X22" s="16">
        <f t="shared" si="12"/>
        <v>0.16666666666666666</v>
      </c>
    </row>
    <row r="23" spans="1:24" x14ac:dyDescent="0.3">
      <c r="A23" s="19">
        <f t="shared" si="0"/>
        <v>13</v>
      </c>
      <c r="B23" s="13" t="s">
        <v>698</v>
      </c>
      <c r="C23" s="13" t="s">
        <v>699</v>
      </c>
      <c r="D23" s="13" t="s">
        <v>491</v>
      </c>
      <c r="E23" s="6"/>
      <c r="F23" s="7">
        <f t="shared" si="1"/>
        <v>0</v>
      </c>
      <c r="G23" s="6"/>
      <c r="H23" s="7">
        <f t="shared" si="2"/>
        <v>0</v>
      </c>
      <c r="I23" s="6"/>
      <c r="J23" s="23">
        <f t="shared" si="3"/>
        <v>0</v>
      </c>
      <c r="K23" s="6"/>
      <c r="L23" s="7">
        <f>IF(K23=0,,($M$9-K23)*$M$7*100/$M$9)</f>
        <v>0</v>
      </c>
      <c r="M23" s="13">
        <v>6</v>
      </c>
      <c r="N23" s="23">
        <f t="shared" si="5"/>
        <v>162.5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162.5</v>
      </c>
      <c r="V23" s="6">
        <f t="shared" si="10"/>
        <v>13</v>
      </c>
      <c r="W23" s="6">
        <f t="shared" si="11"/>
        <v>1</v>
      </c>
      <c r="X23" s="16">
        <f t="shared" si="12"/>
        <v>0.16666666666666666</v>
      </c>
    </row>
    <row r="24" spans="1:24" x14ac:dyDescent="0.3">
      <c r="A24" s="19">
        <f t="shared" si="0"/>
        <v>14</v>
      </c>
      <c r="B24" s="13" t="s">
        <v>324</v>
      </c>
      <c r="C24" s="13" t="s">
        <v>436</v>
      </c>
      <c r="D24" s="13" t="s">
        <v>408</v>
      </c>
      <c r="E24" s="13"/>
      <c r="F24" s="23">
        <f t="shared" si="1"/>
        <v>0</v>
      </c>
      <c r="G24" s="13">
        <v>12</v>
      </c>
      <c r="H24" s="23">
        <f t="shared" si="2"/>
        <v>28.571428571428573</v>
      </c>
      <c r="I24" s="13"/>
      <c r="J24" s="23">
        <f t="shared" si="3"/>
        <v>0</v>
      </c>
      <c r="K24" s="6"/>
      <c r="L24" s="7">
        <f>IF(K24=0,,($K$9-K24)*$K$7*100/$K$9)</f>
        <v>0</v>
      </c>
      <c r="M24" s="13">
        <v>11</v>
      </c>
      <c r="N24" s="23">
        <f t="shared" si="5"/>
        <v>131.25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159.82142857142858</v>
      </c>
      <c r="V24" s="6">
        <f t="shared" si="10"/>
        <v>14</v>
      </c>
      <c r="W24" s="6">
        <f t="shared" si="11"/>
        <v>2</v>
      </c>
      <c r="X24" s="16">
        <f t="shared" si="12"/>
        <v>0.33333333333333331</v>
      </c>
    </row>
    <row r="25" spans="1:24" x14ac:dyDescent="0.3">
      <c r="A25" s="19">
        <f t="shared" si="0"/>
        <v>15</v>
      </c>
      <c r="B25" s="13" t="s">
        <v>427</v>
      </c>
      <c r="C25" s="13" t="s">
        <v>428</v>
      </c>
      <c r="D25" s="13" t="s">
        <v>408</v>
      </c>
      <c r="E25" s="13"/>
      <c r="F25" s="23">
        <f t="shared" si="1"/>
        <v>0</v>
      </c>
      <c r="G25" s="13">
        <v>3</v>
      </c>
      <c r="H25" s="23">
        <f t="shared" si="2"/>
        <v>157.14285714285714</v>
      </c>
      <c r="I25" s="13"/>
      <c r="J25" s="23">
        <f t="shared" si="3"/>
        <v>0</v>
      </c>
      <c r="K25" s="6"/>
      <c r="L25" s="7">
        <f>IF(K25=0,,($K$9-K25)*$K$7*100/$K$9)</f>
        <v>0</v>
      </c>
      <c r="M25" s="13"/>
      <c r="N25" s="23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157.14285714285714</v>
      </c>
      <c r="V25" s="6">
        <f t="shared" si="10"/>
        <v>15</v>
      </c>
      <c r="W25" s="6">
        <f t="shared" si="11"/>
        <v>1</v>
      </c>
      <c r="X25" s="16">
        <f t="shared" si="12"/>
        <v>0.16666666666666666</v>
      </c>
    </row>
    <row r="26" spans="1:24" x14ac:dyDescent="0.3">
      <c r="A26" s="19">
        <f t="shared" si="0"/>
        <v>16</v>
      </c>
      <c r="B26" s="13" t="s">
        <v>165</v>
      </c>
      <c r="C26" s="26" t="s">
        <v>166</v>
      </c>
      <c r="D26" s="13" t="s">
        <v>164</v>
      </c>
      <c r="E26" s="13">
        <v>2</v>
      </c>
      <c r="F26" s="23">
        <f t="shared" si="1"/>
        <v>155.55555555555554</v>
      </c>
      <c r="G26" s="13"/>
      <c r="H26" s="23">
        <f t="shared" si="2"/>
        <v>0</v>
      </c>
      <c r="I26" s="13"/>
      <c r="J26" s="23">
        <f t="shared" si="3"/>
        <v>0</v>
      </c>
      <c r="K26" s="6"/>
      <c r="L26" s="7">
        <f>IF(K26=0,,($K$9-K26)*$K$7*100/$K$9)</f>
        <v>0</v>
      </c>
      <c r="M26" s="13"/>
      <c r="N26" s="23">
        <f t="shared" si="5"/>
        <v>0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155.55555555555554</v>
      </c>
      <c r="V26" s="6">
        <f t="shared" si="10"/>
        <v>16</v>
      </c>
      <c r="W26" s="6">
        <f t="shared" si="11"/>
        <v>1</v>
      </c>
      <c r="X26" s="16">
        <f t="shared" si="12"/>
        <v>0.16666666666666666</v>
      </c>
    </row>
    <row r="27" spans="1:24" x14ac:dyDescent="0.3">
      <c r="A27" s="19">
        <f t="shared" si="0"/>
        <v>17</v>
      </c>
      <c r="B27" s="13" t="s">
        <v>299</v>
      </c>
      <c r="C27" s="13" t="s">
        <v>700</v>
      </c>
      <c r="D27" s="13" t="s">
        <v>131</v>
      </c>
      <c r="E27" s="6"/>
      <c r="F27" s="7">
        <f t="shared" si="1"/>
        <v>0</v>
      </c>
      <c r="G27" s="6"/>
      <c r="H27" s="7">
        <f t="shared" si="2"/>
        <v>0</v>
      </c>
      <c r="I27" s="6"/>
      <c r="J27" s="23">
        <f t="shared" si="3"/>
        <v>0</v>
      </c>
      <c r="K27" s="6"/>
      <c r="L27" s="7">
        <f>IF(K27=0,,($M$9-K27)*$M$7*100/$M$9)</f>
        <v>0</v>
      </c>
      <c r="M27" s="13">
        <v>8</v>
      </c>
      <c r="N27" s="23">
        <f t="shared" si="5"/>
        <v>150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150</v>
      </c>
      <c r="V27" s="6">
        <f t="shared" si="10"/>
        <v>17</v>
      </c>
      <c r="W27" s="6">
        <f t="shared" si="11"/>
        <v>1</v>
      </c>
      <c r="X27" s="16">
        <f t="shared" si="12"/>
        <v>0.16666666666666666</v>
      </c>
    </row>
    <row r="28" spans="1:24" x14ac:dyDescent="0.3">
      <c r="A28" s="19">
        <f t="shared" si="0"/>
        <v>18</v>
      </c>
      <c r="B28" s="13" t="s">
        <v>486</v>
      </c>
      <c r="C28" s="13" t="s">
        <v>487</v>
      </c>
      <c r="D28" s="13" t="s">
        <v>488</v>
      </c>
      <c r="E28" s="6"/>
      <c r="F28" s="7">
        <f t="shared" si="1"/>
        <v>0</v>
      </c>
      <c r="G28" s="6"/>
      <c r="H28" s="7">
        <f t="shared" si="2"/>
        <v>0</v>
      </c>
      <c r="I28" s="6"/>
      <c r="J28" s="23">
        <f t="shared" si="3"/>
        <v>0</v>
      </c>
      <c r="K28" s="6">
        <v>1</v>
      </c>
      <c r="L28" s="7">
        <f>20</f>
        <v>20</v>
      </c>
      <c r="M28" s="13">
        <v>12</v>
      </c>
      <c r="N28" s="7">
        <f t="shared" si="5"/>
        <v>125</v>
      </c>
      <c r="O28" s="6"/>
      <c r="P28" s="6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145</v>
      </c>
      <c r="V28" s="6">
        <f t="shared" si="10"/>
        <v>18</v>
      </c>
      <c r="W28" s="6">
        <f t="shared" si="11"/>
        <v>2</v>
      </c>
      <c r="X28" s="16">
        <f t="shared" si="12"/>
        <v>0.33333333333333331</v>
      </c>
    </row>
    <row r="29" spans="1:24" x14ac:dyDescent="0.3">
      <c r="A29" s="19">
        <f t="shared" si="0"/>
        <v>19</v>
      </c>
      <c r="B29" s="13" t="s">
        <v>701</v>
      </c>
      <c r="C29" s="13" t="s">
        <v>702</v>
      </c>
      <c r="D29" s="13" t="s">
        <v>408</v>
      </c>
      <c r="E29" s="6"/>
      <c r="F29" s="7">
        <f t="shared" si="1"/>
        <v>0</v>
      </c>
      <c r="G29" s="6"/>
      <c r="H29" s="7">
        <f t="shared" si="2"/>
        <v>0</v>
      </c>
      <c r="I29" s="6"/>
      <c r="J29" s="23">
        <f t="shared" si="3"/>
        <v>0</v>
      </c>
      <c r="K29" s="6"/>
      <c r="L29" s="7">
        <f>IF(K29=0,,($M$9-K29)*$M$7*100/$M$9)</f>
        <v>0</v>
      </c>
      <c r="M29" s="13">
        <v>10</v>
      </c>
      <c r="N29" s="22">
        <f t="shared" si="5"/>
        <v>137.5</v>
      </c>
      <c r="O29" s="6"/>
      <c r="P29" s="6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8">
        <f t="shared" si="9"/>
        <v>137.5</v>
      </c>
      <c r="V29" s="6">
        <f t="shared" si="10"/>
        <v>19</v>
      </c>
      <c r="W29" s="6">
        <f t="shared" si="11"/>
        <v>1</v>
      </c>
      <c r="X29" s="16">
        <f t="shared" si="12"/>
        <v>0.16666666666666666</v>
      </c>
    </row>
    <row r="30" spans="1:24" x14ac:dyDescent="0.3">
      <c r="A30" s="13">
        <f t="shared" si="0"/>
        <v>20</v>
      </c>
      <c r="B30" s="13" t="s">
        <v>489</v>
      </c>
      <c r="C30" s="13" t="s">
        <v>490</v>
      </c>
      <c r="D30" s="13" t="s">
        <v>491</v>
      </c>
      <c r="E30" s="6"/>
      <c r="F30" s="7">
        <f t="shared" si="1"/>
        <v>0</v>
      </c>
      <c r="G30" s="6"/>
      <c r="H30" s="7">
        <f t="shared" si="2"/>
        <v>0</v>
      </c>
      <c r="I30" s="6"/>
      <c r="J30" s="23">
        <f t="shared" si="3"/>
        <v>0</v>
      </c>
      <c r="K30" s="6">
        <v>2</v>
      </c>
      <c r="L30" s="7">
        <f>15</f>
        <v>15</v>
      </c>
      <c r="M30" s="13">
        <v>13</v>
      </c>
      <c r="N30" s="22">
        <f t="shared" si="5"/>
        <v>118.75</v>
      </c>
      <c r="O30" s="6"/>
      <c r="P30" s="6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8">
        <f t="shared" si="9"/>
        <v>133.75</v>
      </c>
      <c r="V30" s="6">
        <f t="shared" si="10"/>
        <v>20</v>
      </c>
      <c r="W30" s="6">
        <f t="shared" si="11"/>
        <v>2</v>
      </c>
      <c r="X30" s="16">
        <f t="shared" si="12"/>
        <v>0.33333333333333331</v>
      </c>
    </row>
    <row r="31" spans="1:24" x14ac:dyDescent="0.3">
      <c r="A31" s="19">
        <f t="shared" si="0"/>
        <v>21</v>
      </c>
      <c r="B31" s="13" t="s">
        <v>167</v>
      </c>
      <c r="C31" s="13" t="s">
        <v>156</v>
      </c>
      <c r="D31" s="13" t="s">
        <v>164</v>
      </c>
      <c r="E31" s="13">
        <v>3</v>
      </c>
      <c r="F31" s="23">
        <f t="shared" si="1"/>
        <v>133.33333333333334</v>
      </c>
      <c r="G31" s="13"/>
      <c r="H31" s="23">
        <f t="shared" si="2"/>
        <v>0</v>
      </c>
      <c r="I31" s="13"/>
      <c r="J31" s="23">
        <f t="shared" si="3"/>
        <v>0</v>
      </c>
      <c r="K31" s="6"/>
      <c r="L31" s="7">
        <f>IF(K31=0,,($K$9-K31)*$K$7*100/$K$9)</f>
        <v>0</v>
      </c>
      <c r="M31" s="13"/>
      <c r="N31" s="22">
        <f t="shared" si="5"/>
        <v>0</v>
      </c>
      <c r="O31" s="6"/>
      <c r="P31" s="6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133.33333333333334</v>
      </c>
      <c r="V31" s="6">
        <f t="shared" si="10"/>
        <v>21</v>
      </c>
      <c r="W31" s="6">
        <f t="shared" si="11"/>
        <v>1</v>
      </c>
      <c r="X31" s="16">
        <f t="shared" si="12"/>
        <v>0.16666666666666666</v>
      </c>
    </row>
    <row r="32" spans="1:24" x14ac:dyDescent="0.3">
      <c r="A32" s="19">
        <f t="shared" si="0"/>
        <v>22</v>
      </c>
      <c r="B32" s="13" t="s">
        <v>703</v>
      </c>
      <c r="C32" s="13" t="s">
        <v>704</v>
      </c>
      <c r="D32" s="13" t="s">
        <v>408</v>
      </c>
      <c r="E32" s="6"/>
      <c r="F32" s="7">
        <f t="shared" si="1"/>
        <v>0</v>
      </c>
      <c r="G32" s="6"/>
      <c r="H32" s="7">
        <f t="shared" si="2"/>
        <v>0</v>
      </c>
      <c r="I32" s="6"/>
      <c r="J32" s="23">
        <f t="shared" si="3"/>
        <v>0</v>
      </c>
      <c r="K32" s="6"/>
      <c r="L32" s="7">
        <f>IF(K32=0,,($M$9-K32)*$M$7*100/$M$9)</f>
        <v>0</v>
      </c>
      <c r="M32" s="13">
        <v>17</v>
      </c>
      <c r="N32" s="22">
        <f t="shared" si="5"/>
        <v>93.75</v>
      </c>
      <c r="O32" s="6"/>
      <c r="P32" s="6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8">
        <f t="shared" si="9"/>
        <v>93.75</v>
      </c>
      <c r="V32" s="6">
        <f t="shared" si="10"/>
        <v>22</v>
      </c>
      <c r="W32" s="6">
        <f t="shared" si="11"/>
        <v>1</v>
      </c>
      <c r="X32" s="16">
        <f t="shared" si="12"/>
        <v>0.16666666666666666</v>
      </c>
    </row>
    <row r="33" spans="1:24" x14ac:dyDescent="0.3">
      <c r="A33" s="19">
        <f t="shared" si="0"/>
        <v>23</v>
      </c>
      <c r="B33" s="13" t="s">
        <v>705</v>
      </c>
      <c r="C33" s="13" t="s">
        <v>391</v>
      </c>
      <c r="D33" s="13" t="s">
        <v>273</v>
      </c>
      <c r="E33" s="6"/>
      <c r="F33" s="7">
        <f t="shared" si="1"/>
        <v>0</v>
      </c>
      <c r="G33" s="6"/>
      <c r="H33" s="7">
        <f t="shared" si="2"/>
        <v>0</v>
      </c>
      <c r="I33" s="6"/>
      <c r="J33" s="23">
        <f t="shared" si="3"/>
        <v>0</v>
      </c>
      <c r="K33" s="6"/>
      <c r="L33" s="7">
        <f>IF(K33=0,,($M$9-K33)*$M$7*100/$M$9)</f>
        <v>0</v>
      </c>
      <c r="M33" s="13">
        <v>18</v>
      </c>
      <c r="N33" s="22">
        <f t="shared" si="5"/>
        <v>87.5</v>
      </c>
      <c r="O33" s="6"/>
      <c r="P33" s="6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8">
        <f t="shared" si="9"/>
        <v>87.5</v>
      </c>
      <c r="V33" s="6">
        <f t="shared" si="10"/>
        <v>23</v>
      </c>
      <c r="W33" s="6">
        <f t="shared" si="11"/>
        <v>1</v>
      </c>
      <c r="X33" s="16">
        <f t="shared" si="12"/>
        <v>0.16666666666666666</v>
      </c>
    </row>
    <row r="34" spans="1:24" x14ac:dyDescent="0.3">
      <c r="A34" s="19">
        <f t="shared" si="0"/>
        <v>24</v>
      </c>
      <c r="B34" s="13" t="s">
        <v>434</v>
      </c>
      <c r="C34" s="13" t="s">
        <v>435</v>
      </c>
      <c r="D34" s="13" t="s">
        <v>408</v>
      </c>
      <c r="E34" s="13"/>
      <c r="F34" s="23">
        <f t="shared" si="1"/>
        <v>0</v>
      </c>
      <c r="G34" s="13">
        <v>11</v>
      </c>
      <c r="H34" s="23">
        <f t="shared" si="2"/>
        <v>42.857142857142854</v>
      </c>
      <c r="I34" s="13">
        <v>14</v>
      </c>
      <c r="J34" s="23">
        <f t="shared" si="3"/>
        <v>35.294117647058826</v>
      </c>
      <c r="K34" s="6"/>
      <c r="L34" s="7">
        <f>IF(K34=0,,($K$9-K34)*$K$7*100/$K$9)</f>
        <v>0</v>
      </c>
      <c r="M34" s="13"/>
      <c r="N34" s="22">
        <f t="shared" si="5"/>
        <v>0</v>
      </c>
      <c r="O34" s="6"/>
      <c r="P34" s="6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78.151260504201673</v>
      </c>
      <c r="V34" s="6">
        <f t="shared" si="10"/>
        <v>24</v>
      </c>
      <c r="W34" s="6">
        <f t="shared" si="11"/>
        <v>1</v>
      </c>
      <c r="X34" s="16">
        <f t="shared" si="12"/>
        <v>0.16666666666666666</v>
      </c>
    </row>
    <row r="35" spans="1:24" x14ac:dyDescent="0.3">
      <c r="A35" s="19">
        <f t="shared" si="0"/>
        <v>25</v>
      </c>
      <c r="B35" s="13" t="s">
        <v>706</v>
      </c>
      <c r="C35" s="13" t="s">
        <v>700</v>
      </c>
      <c r="D35" s="13" t="s">
        <v>131</v>
      </c>
      <c r="E35" s="6"/>
      <c r="F35" s="7">
        <f t="shared" si="1"/>
        <v>0</v>
      </c>
      <c r="G35" s="6"/>
      <c r="H35" s="7">
        <f t="shared" si="2"/>
        <v>0</v>
      </c>
      <c r="I35" s="6"/>
      <c r="J35" s="23">
        <f t="shared" si="3"/>
        <v>0</v>
      </c>
      <c r="K35" s="6"/>
      <c r="L35" s="7">
        <f>IF(K35=0,,($M$9-K35)*$M$7*100/$M$9)</f>
        <v>0</v>
      </c>
      <c r="M35" s="13">
        <v>20</v>
      </c>
      <c r="N35" s="22">
        <f t="shared" si="5"/>
        <v>75</v>
      </c>
      <c r="O35" s="6"/>
      <c r="P35" s="6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8">
        <f t="shared" si="9"/>
        <v>75</v>
      </c>
      <c r="V35" s="6">
        <f t="shared" si="10"/>
        <v>25</v>
      </c>
      <c r="W35" s="6">
        <f t="shared" si="11"/>
        <v>1</v>
      </c>
      <c r="X35" s="16">
        <f t="shared" si="12"/>
        <v>0.16666666666666666</v>
      </c>
    </row>
    <row r="36" spans="1:24" x14ac:dyDescent="0.3">
      <c r="A36" s="19">
        <f t="shared" si="0"/>
        <v>26</v>
      </c>
      <c r="B36" s="13" t="s">
        <v>432</v>
      </c>
      <c r="C36" s="13" t="s">
        <v>240</v>
      </c>
      <c r="D36" s="13" t="s">
        <v>180</v>
      </c>
      <c r="E36" s="13"/>
      <c r="F36" s="23">
        <f t="shared" si="1"/>
        <v>0</v>
      </c>
      <c r="G36" s="13">
        <v>9</v>
      </c>
      <c r="H36" s="23">
        <f t="shared" si="2"/>
        <v>71.428571428571431</v>
      </c>
      <c r="I36" s="13"/>
      <c r="J36" s="23">
        <f t="shared" si="3"/>
        <v>0</v>
      </c>
      <c r="K36" s="6"/>
      <c r="L36" s="7">
        <f>IF(K36=0,,($K$9-K36)*$K$7*100/$K$9)</f>
        <v>0</v>
      </c>
      <c r="M36" s="13"/>
      <c r="N36" s="22">
        <f t="shared" si="5"/>
        <v>0</v>
      </c>
      <c r="O36" s="6"/>
      <c r="P36" s="6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8">
        <f t="shared" si="9"/>
        <v>71.428571428571431</v>
      </c>
      <c r="V36" s="6">
        <f t="shared" si="10"/>
        <v>26</v>
      </c>
      <c r="W36" s="6">
        <f t="shared" si="11"/>
        <v>1</v>
      </c>
      <c r="X36" s="16">
        <f t="shared" si="12"/>
        <v>0.16666666666666666</v>
      </c>
    </row>
    <row r="37" spans="1:24" x14ac:dyDescent="0.3">
      <c r="A37" s="19">
        <f t="shared" si="0"/>
        <v>27</v>
      </c>
      <c r="B37" s="13" t="s">
        <v>484</v>
      </c>
      <c r="C37" s="13" t="s">
        <v>485</v>
      </c>
      <c r="D37" s="13" t="s">
        <v>180</v>
      </c>
      <c r="E37" s="13"/>
      <c r="F37" s="23">
        <f t="shared" si="1"/>
        <v>0</v>
      </c>
      <c r="G37" s="13"/>
      <c r="H37" s="23">
        <f t="shared" si="2"/>
        <v>0</v>
      </c>
      <c r="I37" s="13">
        <v>11</v>
      </c>
      <c r="J37" s="23">
        <f t="shared" si="3"/>
        <v>70.588235294117652</v>
      </c>
      <c r="K37" s="6"/>
      <c r="L37" s="7">
        <f>IF(K37=0,,($K$9-K37)*$K$7*100/$K$9)</f>
        <v>0</v>
      </c>
      <c r="M37" s="13"/>
      <c r="N37" s="22">
        <f t="shared" si="5"/>
        <v>0</v>
      </c>
      <c r="O37" s="6"/>
      <c r="P37" s="6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9"/>
        <v>70.588235294117652</v>
      </c>
      <c r="V37" s="6">
        <f t="shared" si="10"/>
        <v>27</v>
      </c>
      <c r="W37" s="6">
        <f t="shared" si="11"/>
        <v>0</v>
      </c>
      <c r="X37" s="16">
        <f t="shared" si="12"/>
        <v>0</v>
      </c>
    </row>
    <row r="38" spans="1:24" x14ac:dyDescent="0.3">
      <c r="A38" s="19">
        <f t="shared" si="0"/>
        <v>28</v>
      </c>
      <c r="B38" s="13" t="s">
        <v>707</v>
      </c>
      <c r="C38" s="13" t="s">
        <v>708</v>
      </c>
      <c r="D38" s="13" t="s">
        <v>653</v>
      </c>
      <c r="E38" s="6"/>
      <c r="F38" s="7">
        <f t="shared" si="1"/>
        <v>0</v>
      </c>
      <c r="G38" s="6"/>
      <c r="H38" s="7">
        <f t="shared" si="2"/>
        <v>0</v>
      </c>
      <c r="I38" s="6"/>
      <c r="J38" s="23">
        <f t="shared" si="3"/>
        <v>0</v>
      </c>
      <c r="K38" s="6"/>
      <c r="L38" s="7">
        <f>IF(K38=0,,($M$9-K38)*$M$7*100/$M$9)</f>
        <v>0</v>
      </c>
      <c r="M38" s="13">
        <v>21</v>
      </c>
      <c r="N38" s="22">
        <f t="shared" si="5"/>
        <v>68.75</v>
      </c>
      <c r="O38" s="6"/>
      <c r="P38" s="6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68.75</v>
      </c>
      <c r="V38" s="6">
        <f t="shared" si="10"/>
        <v>28</v>
      </c>
      <c r="W38" s="6">
        <f t="shared" si="11"/>
        <v>1</v>
      </c>
      <c r="X38" s="16">
        <f t="shared" si="12"/>
        <v>0.16666666666666666</v>
      </c>
    </row>
    <row r="39" spans="1:24" x14ac:dyDescent="0.3">
      <c r="A39" s="19">
        <f t="shared" si="0"/>
        <v>29</v>
      </c>
      <c r="B39" s="13" t="s">
        <v>709</v>
      </c>
      <c r="C39" s="13" t="s">
        <v>710</v>
      </c>
      <c r="D39" s="13" t="s">
        <v>131</v>
      </c>
      <c r="E39" s="6"/>
      <c r="F39" s="7">
        <f t="shared" si="1"/>
        <v>0</v>
      </c>
      <c r="G39" s="6"/>
      <c r="H39" s="7">
        <f t="shared" si="2"/>
        <v>0</v>
      </c>
      <c r="I39" s="6"/>
      <c r="J39" s="23">
        <f t="shared" si="3"/>
        <v>0</v>
      </c>
      <c r="K39" s="6"/>
      <c r="L39" s="7">
        <f>IF(K39=0,,($M$9-K39)*$M$7*100/$M$9)</f>
        <v>0</v>
      </c>
      <c r="M39" s="13">
        <v>22</v>
      </c>
      <c r="N39" s="22">
        <f t="shared" si="5"/>
        <v>62.5</v>
      </c>
      <c r="O39" s="6"/>
      <c r="P39" s="6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62.5</v>
      </c>
      <c r="V39" s="6">
        <f t="shared" si="10"/>
        <v>29</v>
      </c>
      <c r="W39" s="6">
        <f t="shared" si="11"/>
        <v>1</v>
      </c>
      <c r="X39" s="16">
        <f t="shared" si="12"/>
        <v>0.16666666666666666</v>
      </c>
    </row>
    <row r="40" spans="1:24" x14ac:dyDescent="0.3">
      <c r="A40" s="19">
        <f t="shared" si="0"/>
        <v>30</v>
      </c>
      <c r="B40" s="13" t="s">
        <v>173</v>
      </c>
      <c r="C40" s="13" t="s">
        <v>174</v>
      </c>
      <c r="D40" s="13" t="s">
        <v>175</v>
      </c>
      <c r="E40" s="13">
        <v>7</v>
      </c>
      <c r="F40" s="23">
        <f t="shared" si="1"/>
        <v>44.444444444444443</v>
      </c>
      <c r="G40" s="13"/>
      <c r="H40" s="23">
        <f>14/2</f>
        <v>7</v>
      </c>
      <c r="I40" s="13"/>
      <c r="J40" s="23">
        <f t="shared" si="3"/>
        <v>0</v>
      </c>
      <c r="K40" s="6">
        <v>4</v>
      </c>
      <c r="L40" s="7">
        <v>5</v>
      </c>
      <c r="M40" s="13"/>
      <c r="N40" s="22">
        <f t="shared" si="5"/>
        <v>0</v>
      </c>
      <c r="O40" s="6"/>
      <c r="P40" s="6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56.444444444444443</v>
      </c>
      <c r="V40" s="6">
        <f t="shared" si="10"/>
        <v>30</v>
      </c>
      <c r="W40" s="6">
        <f t="shared" si="11"/>
        <v>2</v>
      </c>
      <c r="X40" s="16">
        <f t="shared" si="12"/>
        <v>0.33333333333333331</v>
      </c>
    </row>
    <row r="41" spans="1:24" x14ac:dyDescent="0.3">
      <c r="A41" s="19">
        <f t="shared" si="0"/>
        <v>31</v>
      </c>
      <c r="B41" s="13" t="s">
        <v>711</v>
      </c>
      <c r="C41" s="13" t="s">
        <v>220</v>
      </c>
      <c r="D41" s="13" t="s">
        <v>408</v>
      </c>
      <c r="E41" s="6"/>
      <c r="F41" s="7">
        <f t="shared" si="1"/>
        <v>0</v>
      </c>
      <c r="G41" s="6"/>
      <c r="H41" s="7">
        <f t="shared" ref="H41:H56" si="13">IF(G41=0,,($G$9-G41)*$G$7*100/$G$9)</f>
        <v>0</v>
      </c>
      <c r="I41" s="6"/>
      <c r="J41" s="23">
        <f t="shared" si="3"/>
        <v>0</v>
      </c>
      <c r="K41" s="6"/>
      <c r="L41" s="7">
        <f>IF(K41=0,,($M$9-K41)*$M$7*100/$M$9)</f>
        <v>0</v>
      </c>
      <c r="M41" s="13">
        <v>23</v>
      </c>
      <c r="N41" s="22">
        <f t="shared" si="5"/>
        <v>56.25</v>
      </c>
      <c r="O41" s="6"/>
      <c r="P41" s="6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8">
        <f t="shared" si="9"/>
        <v>56.25</v>
      </c>
      <c r="V41" s="6">
        <f t="shared" si="10"/>
        <v>31</v>
      </c>
      <c r="W41" s="6">
        <f t="shared" si="11"/>
        <v>1</v>
      </c>
      <c r="X41" s="16">
        <f t="shared" si="12"/>
        <v>0.16666666666666666</v>
      </c>
    </row>
    <row r="42" spans="1:24" x14ac:dyDescent="0.3">
      <c r="A42" s="19">
        <f t="shared" si="0"/>
        <v>32</v>
      </c>
      <c r="B42" s="13" t="s">
        <v>712</v>
      </c>
      <c r="C42" s="13" t="s">
        <v>713</v>
      </c>
      <c r="D42" s="13" t="s">
        <v>408</v>
      </c>
      <c r="E42" s="6"/>
      <c r="F42" s="7">
        <f t="shared" si="1"/>
        <v>0</v>
      </c>
      <c r="G42" s="6"/>
      <c r="H42" s="7">
        <f t="shared" si="13"/>
        <v>0</v>
      </c>
      <c r="I42" s="6"/>
      <c r="J42" s="23">
        <f t="shared" si="3"/>
        <v>0</v>
      </c>
      <c r="K42" s="6"/>
      <c r="L42" s="7">
        <f>IF(K42=0,,($M$9-K42)*$M$7*100/$M$9)</f>
        <v>0</v>
      </c>
      <c r="M42" s="13">
        <v>24</v>
      </c>
      <c r="N42" s="22">
        <f t="shared" si="5"/>
        <v>50</v>
      </c>
      <c r="O42" s="6"/>
      <c r="P42" s="6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50</v>
      </c>
      <c r="V42" s="6">
        <f t="shared" si="10"/>
        <v>32</v>
      </c>
      <c r="W42" s="6">
        <f t="shared" si="11"/>
        <v>1</v>
      </c>
      <c r="X42" s="16">
        <f t="shared" si="12"/>
        <v>0.16666666666666666</v>
      </c>
    </row>
    <row r="43" spans="1:24" x14ac:dyDescent="0.3">
      <c r="A43" s="19">
        <f t="shared" si="0"/>
        <v>33</v>
      </c>
      <c r="B43" s="13" t="s">
        <v>178</v>
      </c>
      <c r="C43" s="13" t="s">
        <v>179</v>
      </c>
      <c r="D43" s="13" t="s">
        <v>488</v>
      </c>
      <c r="E43" s="13">
        <v>9</v>
      </c>
      <c r="F43" s="23">
        <f t="shared" si="1"/>
        <v>0</v>
      </c>
      <c r="G43" s="13">
        <v>13</v>
      </c>
      <c r="H43" s="23">
        <f t="shared" si="13"/>
        <v>14.285714285714286</v>
      </c>
      <c r="I43" s="13"/>
      <c r="J43" s="23">
        <f t="shared" si="3"/>
        <v>0</v>
      </c>
      <c r="K43" s="6">
        <v>3</v>
      </c>
      <c r="L43" s="7">
        <f>10</f>
        <v>10</v>
      </c>
      <c r="M43" s="13">
        <v>28</v>
      </c>
      <c r="N43" s="22">
        <f t="shared" si="5"/>
        <v>25</v>
      </c>
      <c r="O43" s="6"/>
      <c r="P43" s="6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49.285714285714285</v>
      </c>
      <c r="V43" s="6">
        <f t="shared" si="10"/>
        <v>33</v>
      </c>
      <c r="W43" s="6">
        <f t="shared" si="11"/>
        <v>4</v>
      </c>
      <c r="X43" s="16">
        <f t="shared" si="12"/>
        <v>0.66666666666666663</v>
      </c>
    </row>
    <row r="44" spans="1:24" x14ac:dyDescent="0.3">
      <c r="A44" s="19">
        <f t="shared" si="0"/>
        <v>34</v>
      </c>
      <c r="B44" s="13" t="s">
        <v>714</v>
      </c>
      <c r="C44" s="13" t="s">
        <v>309</v>
      </c>
      <c r="D44" s="13" t="s">
        <v>408</v>
      </c>
      <c r="E44" s="6"/>
      <c r="F44" s="7">
        <f t="shared" si="1"/>
        <v>0</v>
      </c>
      <c r="G44" s="6"/>
      <c r="H44" s="7">
        <f t="shared" si="13"/>
        <v>0</v>
      </c>
      <c r="I44" s="6"/>
      <c r="J44" s="23">
        <f t="shared" si="3"/>
        <v>0</v>
      </c>
      <c r="K44" s="6"/>
      <c r="L44" s="7">
        <f>IF(K44=0,,($M$9-K44)*$M$7*100/$M$9)</f>
        <v>0</v>
      </c>
      <c r="M44" s="13">
        <v>25</v>
      </c>
      <c r="N44" s="22">
        <f t="shared" si="5"/>
        <v>43.75</v>
      </c>
      <c r="O44" s="6"/>
      <c r="P44" s="6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43.75</v>
      </c>
      <c r="V44" s="6">
        <f t="shared" si="10"/>
        <v>34</v>
      </c>
      <c r="W44" s="6">
        <f t="shared" si="11"/>
        <v>1</v>
      </c>
      <c r="X44" s="16">
        <f t="shared" si="12"/>
        <v>0.16666666666666666</v>
      </c>
    </row>
    <row r="45" spans="1:24" x14ac:dyDescent="0.3">
      <c r="A45" s="19">
        <f t="shared" si="0"/>
        <v>35</v>
      </c>
      <c r="B45" s="13" t="s">
        <v>715</v>
      </c>
      <c r="C45" s="13" t="s">
        <v>205</v>
      </c>
      <c r="D45" s="13" t="s">
        <v>716</v>
      </c>
      <c r="E45" s="6"/>
      <c r="F45" s="7">
        <f t="shared" si="1"/>
        <v>0</v>
      </c>
      <c r="G45" s="6"/>
      <c r="H45" s="7">
        <f t="shared" si="13"/>
        <v>0</v>
      </c>
      <c r="I45" s="6"/>
      <c r="J45" s="23">
        <f t="shared" si="3"/>
        <v>0</v>
      </c>
      <c r="K45" s="6"/>
      <c r="L45" s="7">
        <f>IF(K45=0,,($M$9-K45)*$M$7*100/$M$9)</f>
        <v>0</v>
      </c>
      <c r="M45" s="13">
        <v>26</v>
      </c>
      <c r="N45" s="22">
        <f t="shared" si="5"/>
        <v>37.5</v>
      </c>
      <c r="O45" s="6"/>
      <c r="P45" s="6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37.5</v>
      </c>
      <c r="V45" s="6">
        <f t="shared" si="10"/>
        <v>35</v>
      </c>
      <c r="W45" s="6">
        <f t="shared" si="11"/>
        <v>1</v>
      </c>
      <c r="X45" s="16">
        <f t="shared" si="12"/>
        <v>0.16666666666666666</v>
      </c>
    </row>
    <row r="46" spans="1:24" x14ac:dyDescent="0.3">
      <c r="A46" s="19">
        <f t="shared" si="0"/>
        <v>36</v>
      </c>
      <c r="B46" s="13" t="s">
        <v>717</v>
      </c>
      <c r="C46" s="13" t="s">
        <v>718</v>
      </c>
      <c r="D46" s="13" t="s">
        <v>491</v>
      </c>
      <c r="E46" s="6"/>
      <c r="F46" s="7">
        <f t="shared" si="1"/>
        <v>0</v>
      </c>
      <c r="G46" s="6"/>
      <c r="H46" s="7">
        <f t="shared" si="13"/>
        <v>0</v>
      </c>
      <c r="I46" s="6"/>
      <c r="J46" s="23">
        <f t="shared" si="3"/>
        <v>0</v>
      </c>
      <c r="K46" s="6"/>
      <c r="L46" s="7">
        <f>IF(K46=0,,($M$9-K46)*$M$7*100/$M$9)</f>
        <v>0</v>
      </c>
      <c r="M46" s="13">
        <v>27</v>
      </c>
      <c r="N46" s="22">
        <f t="shared" si="5"/>
        <v>31.25</v>
      </c>
      <c r="O46" s="6"/>
      <c r="P46" s="6">
        <f t="shared" si="6"/>
        <v>0</v>
      </c>
      <c r="Q46" s="6"/>
      <c r="R46" s="7">
        <f t="shared" si="7"/>
        <v>0</v>
      </c>
      <c r="S46" s="6"/>
      <c r="T46" s="7">
        <f t="shared" si="8"/>
        <v>0</v>
      </c>
      <c r="U46" s="8">
        <f t="shared" si="9"/>
        <v>31.25</v>
      </c>
      <c r="V46" s="6">
        <f t="shared" si="10"/>
        <v>36</v>
      </c>
      <c r="W46" s="6">
        <f t="shared" si="11"/>
        <v>1</v>
      </c>
      <c r="X46" s="16">
        <f t="shared" si="12"/>
        <v>0.16666666666666666</v>
      </c>
    </row>
    <row r="47" spans="1:24" x14ac:dyDescent="0.3">
      <c r="A47" s="19">
        <f t="shared" si="0"/>
        <v>37</v>
      </c>
      <c r="B47" s="13" t="s">
        <v>177</v>
      </c>
      <c r="C47" s="13" t="s">
        <v>176</v>
      </c>
      <c r="D47" s="13" t="s">
        <v>164</v>
      </c>
      <c r="E47" s="13">
        <v>8</v>
      </c>
      <c r="F47" s="23">
        <f t="shared" si="1"/>
        <v>22.222222222222221</v>
      </c>
      <c r="G47" s="13"/>
      <c r="H47" s="23">
        <f t="shared" si="13"/>
        <v>0</v>
      </c>
      <c r="I47" s="13"/>
      <c r="J47" s="23">
        <f t="shared" si="3"/>
        <v>0</v>
      </c>
      <c r="K47" s="6"/>
      <c r="L47" s="7">
        <f>IF(K47=0,,($K$9-K47)*$K$7*100/$K$9)</f>
        <v>0</v>
      </c>
      <c r="M47" s="13"/>
      <c r="N47" s="22">
        <f t="shared" si="5"/>
        <v>0</v>
      </c>
      <c r="O47" s="6"/>
      <c r="P47" s="6">
        <f t="shared" si="6"/>
        <v>0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22.222222222222221</v>
      </c>
      <c r="V47" s="6">
        <f t="shared" si="10"/>
        <v>37</v>
      </c>
      <c r="W47" s="6">
        <f t="shared" si="11"/>
        <v>1</v>
      </c>
      <c r="X47" s="16">
        <f t="shared" si="12"/>
        <v>0.16666666666666666</v>
      </c>
    </row>
    <row r="48" spans="1:24" x14ac:dyDescent="0.3">
      <c r="A48" s="19">
        <f t="shared" si="0"/>
        <v>38</v>
      </c>
      <c r="B48" s="13" t="s">
        <v>719</v>
      </c>
      <c r="C48" s="13" t="s">
        <v>233</v>
      </c>
      <c r="D48" s="13" t="s">
        <v>491</v>
      </c>
      <c r="E48" s="6"/>
      <c r="F48" s="7">
        <f t="shared" si="1"/>
        <v>0</v>
      </c>
      <c r="G48" s="6"/>
      <c r="H48" s="7">
        <f t="shared" si="13"/>
        <v>0</v>
      </c>
      <c r="I48" s="6"/>
      <c r="J48" s="23">
        <f t="shared" si="3"/>
        <v>0</v>
      </c>
      <c r="K48" s="6"/>
      <c r="L48" s="7">
        <f t="shared" ref="L48:L56" si="14">IF(K48=0,,($M$9-K48)*$M$7*100/$M$9)</f>
        <v>0</v>
      </c>
      <c r="M48" s="13">
        <v>29</v>
      </c>
      <c r="N48" s="22">
        <f t="shared" si="5"/>
        <v>18.75</v>
      </c>
      <c r="O48" s="6"/>
      <c r="P48" s="6">
        <f t="shared" si="6"/>
        <v>0</v>
      </c>
      <c r="Q48" s="6"/>
      <c r="R48" s="7">
        <f t="shared" si="7"/>
        <v>0</v>
      </c>
      <c r="S48" s="6"/>
      <c r="T48" s="7">
        <f t="shared" si="8"/>
        <v>0</v>
      </c>
      <c r="U48" s="8">
        <f t="shared" si="9"/>
        <v>18.75</v>
      </c>
      <c r="V48" s="6">
        <f t="shared" si="10"/>
        <v>38</v>
      </c>
      <c r="W48" s="6">
        <f t="shared" si="11"/>
        <v>1</v>
      </c>
      <c r="X48" s="16">
        <f t="shared" si="12"/>
        <v>0.16666666666666666</v>
      </c>
    </row>
    <row r="49" spans="1:24" x14ac:dyDescent="0.3">
      <c r="A49" s="19">
        <f t="shared" si="0"/>
        <v>39</v>
      </c>
      <c r="B49" s="13" t="s">
        <v>720</v>
      </c>
      <c r="C49" s="13" t="s">
        <v>721</v>
      </c>
      <c r="D49" s="13" t="s">
        <v>131</v>
      </c>
      <c r="E49" s="6"/>
      <c r="F49" s="7">
        <f t="shared" si="1"/>
        <v>0</v>
      </c>
      <c r="G49" s="6"/>
      <c r="H49" s="7">
        <f t="shared" si="13"/>
        <v>0</v>
      </c>
      <c r="I49" s="6"/>
      <c r="J49" s="23">
        <f t="shared" si="3"/>
        <v>0</v>
      </c>
      <c r="K49" s="6"/>
      <c r="L49" s="7">
        <f t="shared" si="14"/>
        <v>0</v>
      </c>
      <c r="M49" s="13">
        <v>30</v>
      </c>
      <c r="N49" s="22">
        <f t="shared" si="5"/>
        <v>12.5</v>
      </c>
      <c r="O49" s="6"/>
      <c r="P49" s="6">
        <f t="shared" si="6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12.5</v>
      </c>
      <c r="V49" s="6">
        <f t="shared" si="10"/>
        <v>39</v>
      </c>
      <c r="W49" s="6">
        <f t="shared" si="11"/>
        <v>1</v>
      </c>
      <c r="X49" s="16">
        <f t="shared" si="12"/>
        <v>0.16666666666666666</v>
      </c>
    </row>
    <row r="50" spans="1:24" x14ac:dyDescent="0.3">
      <c r="A50" s="19">
        <f t="shared" si="0"/>
        <v>40</v>
      </c>
      <c r="B50" s="13" t="s">
        <v>722</v>
      </c>
      <c r="C50" s="13" t="s">
        <v>723</v>
      </c>
      <c r="D50" s="13" t="s">
        <v>131</v>
      </c>
      <c r="E50" s="6"/>
      <c r="F50" s="7">
        <f t="shared" si="1"/>
        <v>0</v>
      </c>
      <c r="G50" s="6"/>
      <c r="H50" s="7">
        <f t="shared" si="13"/>
        <v>0</v>
      </c>
      <c r="I50" s="6"/>
      <c r="J50" s="23">
        <f t="shared" si="3"/>
        <v>0</v>
      </c>
      <c r="K50" s="6"/>
      <c r="L50" s="7">
        <f t="shared" si="14"/>
        <v>0</v>
      </c>
      <c r="M50" s="13">
        <v>31</v>
      </c>
      <c r="N50" s="22">
        <f t="shared" si="5"/>
        <v>6.25</v>
      </c>
      <c r="O50" s="6"/>
      <c r="P50" s="6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6.25</v>
      </c>
      <c r="V50" s="6">
        <f t="shared" si="10"/>
        <v>40</v>
      </c>
      <c r="W50" s="6">
        <f t="shared" si="11"/>
        <v>1</v>
      </c>
      <c r="X50" s="16">
        <f t="shared" si="12"/>
        <v>0.16666666666666666</v>
      </c>
    </row>
    <row r="51" spans="1:24" x14ac:dyDescent="0.3">
      <c r="A51" s="19">
        <f t="shared" si="0"/>
        <v>41</v>
      </c>
      <c r="B51" s="13" t="s">
        <v>724</v>
      </c>
      <c r="C51" s="13" t="s">
        <v>725</v>
      </c>
      <c r="D51" s="13" t="s">
        <v>408</v>
      </c>
      <c r="E51" s="6"/>
      <c r="F51" s="7">
        <f t="shared" si="1"/>
        <v>0</v>
      </c>
      <c r="G51" s="6"/>
      <c r="H51" s="7">
        <f t="shared" si="13"/>
        <v>0</v>
      </c>
      <c r="I51" s="6"/>
      <c r="J51" s="23">
        <f t="shared" si="3"/>
        <v>0</v>
      </c>
      <c r="K51" s="6"/>
      <c r="L51" s="7">
        <f t="shared" si="14"/>
        <v>0</v>
      </c>
      <c r="M51" s="13">
        <v>32</v>
      </c>
      <c r="N51" s="22">
        <f>6/2</f>
        <v>3</v>
      </c>
      <c r="O51" s="6"/>
      <c r="P51" s="6">
        <f t="shared" si="6"/>
        <v>0</v>
      </c>
      <c r="Q51" s="6"/>
      <c r="R51" s="7">
        <f t="shared" si="7"/>
        <v>0</v>
      </c>
      <c r="S51" s="6"/>
      <c r="T51" s="7">
        <f t="shared" si="8"/>
        <v>0</v>
      </c>
      <c r="U51" s="8">
        <f t="shared" si="9"/>
        <v>3</v>
      </c>
      <c r="V51" s="6">
        <f t="shared" si="10"/>
        <v>41</v>
      </c>
      <c r="W51" s="6">
        <f t="shared" si="11"/>
        <v>1</v>
      </c>
      <c r="X51" s="16">
        <f t="shared" si="12"/>
        <v>0.16666666666666666</v>
      </c>
    </row>
    <row r="52" spans="1:24" x14ac:dyDescent="0.3">
      <c r="A52" s="20">
        <f t="shared" si="0"/>
        <v>42</v>
      </c>
      <c r="B52" s="13"/>
      <c r="C52" s="13"/>
      <c r="D52" s="6"/>
      <c r="E52" s="6"/>
      <c r="F52" s="7">
        <f t="shared" si="1"/>
        <v>0</v>
      </c>
      <c r="G52" s="6"/>
      <c r="H52" s="7">
        <f t="shared" si="13"/>
        <v>0</v>
      </c>
      <c r="I52" s="6"/>
      <c r="J52" s="23">
        <f t="shared" si="3"/>
        <v>0</v>
      </c>
      <c r="K52" s="6"/>
      <c r="L52" s="7">
        <f t="shared" si="14"/>
        <v>0</v>
      </c>
      <c r="M52" s="13"/>
      <c r="N52" s="22">
        <f>IF(M52=0,,($M$9-M52)*$M$7*100/$M$9)</f>
        <v>0</v>
      </c>
      <c r="O52" s="6"/>
      <c r="P52" s="6">
        <f t="shared" si="6"/>
        <v>0</v>
      </c>
      <c r="Q52" s="6"/>
      <c r="R52" s="7">
        <f t="shared" si="7"/>
        <v>0</v>
      </c>
      <c r="S52" s="6"/>
      <c r="T52" s="7">
        <f t="shared" si="8"/>
        <v>0</v>
      </c>
      <c r="U52" s="8">
        <f t="shared" si="9"/>
        <v>0</v>
      </c>
      <c r="V52" s="6">
        <f t="shared" si="10"/>
        <v>42</v>
      </c>
      <c r="W52" s="6">
        <f t="shared" si="11"/>
        <v>0</v>
      </c>
      <c r="X52" s="16">
        <f t="shared" si="12"/>
        <v>0</v>
      </c>
    </row>
    <row r="53" spans="1:24" x14ac:dyDescent="0.3">
      <c r="A53" s="20">
        <f t="shared" si="0"/>
        <v>43</v>
      </c>
      <c r="B53" s="13"/>
      <c r="C53" s="13"/>
      <c r="D53" s="6"/>
      <c r="E53" s="6"/>
      <c r="F53" s="7">
        <f t="shared" si="1"/>
        <v>0</v>
      </c>
      <c r="G53" s="6"/>
      <c r="H53" s="7">
        <f t="shared" si="13"/>
        <v>0</v>
      </c>
      <c r="I53" s="6"/>
      <c r="J53" s="23">
        <f t="shared" si="3"/>
        <v>0</v>
      </c>
      <c r="K53" s="6"/>
      <c r="L53" s="7">
        <f t="shared" si="14"/>
        <v>0</v>
      </c>
      <c r="M53" s="13"/>
      <c r="N53" s="22">
        <f>IF(M53=0,,($M$9-M53)*$M$7*100/$M$9)</f>
        <v>0</v>
      </c>
      <c r="O53" s="6"/>
      <c r="P53" s="6">
        <f t="shared" si="6"/>
        <v>0</v>
      </c>
      <c r="Q53" s="6"/>
      <c r="R53" s="7">
        <f t="shared" si="7"/>
        <v>0</v>
      </c>
      <c r="S53" s="6"/>
      <c r="T53" s="7">
        <f t="shared" si="8"/>
        <v>0</v>
      </c>
      <c r="U53" s="8">
        <f t="shared" si="9"/>
        <v>0</v>
      </c>
      <c r="V53" s="6">
        <f t="shared" si="10"/>
        <v>43</v>
      </c>
      <c r="W53" s="6">
        <f t="shared" si="11"/>
        <v>0</v>
      </c>
      <c r="X53" s="16">
        <f t="shared" si="12"/>
        <v>0</v>
      </c>
    </row>
    <row r="54" spans="1:24" x14ac:dyDescent="0.3">
      <c r="A54" s="21">
        <f t="shared" si="0"/>
        <v>44</v>
      </c>
      <c r="B54" s="13"/>
      <c r="C54" s="13"/>
      <c r="D54" s="6"/>
      <c r="E54" s="6"/>
      <c r="F54" s="7">
        <f t="shared" si="1"/>
        <v>0</v>
      </c>
      <c r="G54" s="6"/>
      <c r="H54" s="7">
        <f t="shared" si="13"/>
        <v>0</v>
      </c>
      <c r="I54" s="6"/>
      <c r="J54" s="23">
        <f t="shared" si="3"/>
        <v>0</v>
      </c>
      <c r="K54" s="6"/>
      <c r="L54" s="7">
        <f t="shared" si="14"/>
        <v>0</v>
      </c>
      <c r="M54" s="13"/>
      <c r="N54" s="22">
        <f>IF(M54=0,,($M$9-M54)*$M$7*100/$M$9)</f>
        <v>0</v>
      </c>
      <c r="O54" s="6"/>
      <c r="P54" s="6">
        <f t="shared" si="6"/>
        <v>0</v>
      </c>
      <c r="Q54" s="6"/>
      <c r="R54" s="7">
        <f t="shared" si="7"/>
        <v>0</v>
      </c>
      <c r="S54" s="6"/>
      <c r="T54" s="7">
        <f t="shared" si="8"/>
        <v>0</v>
      </c>
      <c r="U54" s="8">
        <f t="shared" si="9"/>
        <v>0</v>
      </c>
      <c r="V54" s="6">
        <f t="shared" si="10"/>
        <v>44</v>
      </c>
      <c r="W54" s="6">
        <f t="shared" si="11"/>
        <v>0</v>
      </c>
      <c r="X54" s="16">
        <f t="shared" si="12"/>
        <v>0</v>
      </c>
    </row>
    <row r="55" spans="1:24" x14ac:dyDescent="0.3">
      <c r="A55" s="20">
        <f t="shared" si="0"/>
        <v>45</v>
      </c>
      <c r="B55" s="13"/>
      <c r="C55" s="13"/>
      <c r="D55" s="6"/>
      <c r="E55" s="6"/>
      <c r="F55" s="7">
        <f t="shared" si="1"/>
        <v>0</v>
      </c>
      <c r="G55" s="6"/>
      <c r="H55" s="7">
        <f t="shared" si="13"/>
        <v>0</v>
      </c>
      <c r="I55" s="6"/>
      <c r="J55" s="23">
        <f t="shared" si="3"/>
        <v>0</v>
      </c>
      <c r="K55" s="6"/>
      <c r="L55" s="7">
        <f t="shared" si="14"/>
        <v>0</v>
      </c>
      <c r="M55" s="13"/>
      <c r="N55" s="22">
        <f>IF(M55=0,,($M$9-M55)*$M$7*100/$M$9)</f>
        <v>0</v>
      </c>
      <c r="O55" s="6"/>
      <c r="P55" s="6">
        <f t="shared" si="6"/>
        <v>0</v>
      </c>
      <c r="Q55" s="6"/>
      <c r="R55" s="7">
        <f t="shared" si="7"/>
        <v>0</v>
      </c>
      <c r="S55" s="6"/>
      <c r="T55" s="7">
        <f t="shared" si="8"/>
        <v>0</v>
      </c>
      <c r="U55" s="8">
        <f t="shared" si="9"/>
        <v>0</v>
      </c>
      <c r="V55" s="6">
        <f t="shared" si="10"/>
        <v>45</v>
      </c>
      <c r="W55" s="6">
        <f t="shared" si="11"/>
        <v>0</v>
      </c>
      <c r="X55" s="16">
        <f t="shared" si="12"/>
        <v>0</v>
      </c>
    </row>
    <row r="56" spans="1:24" x14ac:dyDescent="0.3">
      <c r="A56" s="20">
        <f t="shared" si="0"/>
        <v>46</v>
      </c>
      <c r="B56" s="13"/>
      <c r="C56" s="13"/>
      <c r="D56" s="6"/>
      <c r="E56" s="6"/>
      <c r="F56" s="7">
        <f t="shared" si="1"/>
        <v>0</v>
      </c>
      <c r="G56" s="6"/>
      <c r="H56" s="7">
        <f t="shared" si="13"/>
        <v>0</v>
      </c>
      <c r="I56" s="6"/>
      <c r="J56" s="7">
        <f>IF(I56=0,,($G$9-I56)*$G$7*100/$G$9)</f>
        <v>0</v>
      </c>
      <c r="K56" s="6"/>
      <c r="L56" s="7">
        <f t="shared" si="14"/>
        <v>0</v>
      </c>
      <c r="M56" s="6"/>
      <c r="N56" s="7">
        <f>IF(M56=0,,($M$9-M56)*$M$7*100/$M$9)</f>
        <v>0</v>
      </c>
      <c r="O56" s="6"/>
      <c r="P56" s="6">
        <f t="shared" si="6"/>
        <v>0</v>
      </c>
      <c r="Q56" s="6"/>
      <c r="R56" s="7">
        <f t="shared" si="7"/>
        <v>0</v>
      </c>
      <c r="S56" s="6"/>
      <c r="T56" s="7">
        <f t="shared" si="8"/>
        <v>0</v>
      </c>
      <c r="U56" s="8">
        <f t="shared" si="9"/>
        <v>0</v>
      </c>
      <c r="V56" s="6">
        <f t="shared" si="10"/>
        <v>46</v>
      </c>
      <c r="W56" s="6">
        <f t="shared" si="11"/>
        <v>0</v>
      </c>
      <c r="X56" s="16">
        <f t="shared" si="12"/>
        <v>0</v>
      </c>
    </row>
    <row r="57" spans="1:24" x14ac:dyDescent="0.3">
      <c r="A57" s="45" t="s">
        <v>11</v>
      </c>
      <c r="B57" s="45"/>
      <c r="C57" s="46"/>
      <c r="E57">
        <f>COUNTA(E11:E56)</f>
        <v>9</v>
      </c>
      <c r="G57">
        <f>COUNTA(G11:G56)</f>
        <v>14</v>
      </c>
      <c r="I57">
        <f>COUNTA(I11:I56)</f>
        <v>8</v>
      </c>
      <c r="K57">
        <f>COUNTA(K11:K56)</f>
        <v>4</v>
      </c>
      <c r="M57">
        <f>COUNTA(M11:M56)</f>
        <v>32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3">
      <c r="A58" s="55" t="s">
        <v>21</v>
      </c>
      <c r="B58" s="55"/>
      <c r="C58" s="55"/>
      <c r="E58" s="15">
        <f>E57/$G$2</f>
        <v>0.21951219512195122</v>
      </c>
      <c r="G58" s="15">
        <f>G57/$G$2</f>
        <v>0.34146341463414637</v>
      </c>
      <c r="I58" s="15">
        <f>I57/$G$2</f>
        <v>0.1951219512195122</v>
      </c>
      <c r="K58" s="15">
        <f>K57/$G$2</f>
        <v>9.7560975609756101E-2</v>
      </c>
      <c r="M58" s="15">
        <f>M57/$G$2</f>
        <v>0.78048780487804881</v>
      </c>
      <c r="O58" s="15">
        <f>O57/$G$2</f>
        <v>0</v>
      </c>
      <c r="Q58" s="15">
        <f>Q57/$G$2</f>
        <v>0</v>
      </c>
      <c r="S58" s="15">
        <f>S57/$G$2</f>
        <v>0</v>
      </c>
    </row>
  </sheetData>
  <sortState xmlns:xlrd2="http://schemas.microsoft.com/office/spreadsheetml/2017/richdata2" ref="B11:U56">
    <sortCondition descending="1" ref="U11:U56"/>
    <sortCondition ref="B11:B56"/>
  </sortState>
  <mergeCells count="37"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M9:N9"/>
    <mergeCell ref="O9:P9"/>
    <mergeCell ref="Q9:R9"/>
    <mergeCell ref="S9:T9"/>
    <mergeCell ref="A57:C57"/>
    <mergeCell ref="I9:J9"/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1"/>
  <sheetViews>
    <sheetView zoomScale="88" zoomScaleNormal="88" workbookViewId="0">
      <pane xSplit="3" ySplit="10" topLeftCell="G11" activePane="bottomRight" state="frozenSplit"/>
      <selection activeCell="D26" sqref="D26"/>
      <selection pane="topRight" activeCell="D26" sqref="D26"/>
      <selection pane="bottomLeft" activeCell="D26" sqref="D26"/>
      <selection pane="bottomRight" activeCell="B4" sqref="B4"/>
    </sheetView>
  </sheetViews>
  <sheetFormatPr baseColWidth="10" defaultRowHeight="14.4" x14ac:dyDescent="0.3"/>
  <cols>
    <col min="1" max="1" width="18.33203125" bestFit="1" customWidth="1"/>
    <col min="2" max="2" width="24.44140625" bestFit="1" customWidth="1"/>
    <col min="4" max="4" width="14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5.77734375" customWidth="1"/>
    <col min="12" max="12" width="17.44140625" customWidth="1"/>
    <col min="13" max="18" width="11.4414062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.2" x14ac:dyDescent="0.6">
      <c r="A1" s="47" t="s">
        <v>113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22" x14ac:dyDescent="0.3">
      <c r="E2" s="54" t="s">
        <v>17</v>
      </c>
      <c r="F2" s="54"/>
      <c r="G2" s="14">
        <f>COUNTA(B11:B29)</f>
        <v>19</v>
      </c>
    </row>
    <row r="3" spans="1:22" x14ac:dyDescent="0.3">
      <c r="B3" s="2"/>
      <c r="E3" s="54" t="s">
        <v>19</v>
      </c>
      <c r="F3" s="54"/>
      <c r="G3" s="14">
        <f>COUNTA(E8:R8)</f>
        <v>5</v>
      </c>
    </row>
    <row r="4" spans="1:22" x14ac:dyDescent="0.3">
      <c r="B4" s="2"/>
      <c r="C4" s="3"/>
    </row>
    <row r="6" spans="1:22" x14ac:dyDescent="0.3">
      <c r="D6" s="1" t="s">
        <v>0</v>
      </c>
      <c r="E6" s="41" t="s">
        <v>15</v>
      </c>
      <c r="F6" s="41"/>
      <c r="G6" s="41" t="s">
        <v>16</v>
      </c>
      <c r="H6" s="41"/>
      <c r="I6" s="41" t="s">
        <v>114</v>
      </c>
      <c r="J6" s="41"/>
      <c r="K6" s="41" t="s">
        <v>115</v>
      </c>
      <c r="L6" s="41"/>
      <c r="M6" s="42" t="s">
        <v>116</v>
      </c>
      <c r="N6" s="43"/>
      <c r="O6" s="41"/>
      <c r="P6" s="41"/>
      <c r="Q6" s="41"/>
      <c r="R6" s="41"/>
    </row>
    <row r="7" spans="1:22" x14ac:dyDescent="0.3">
      <c r="D7" s="1" t="s">
        <v>10</v>
      </c>
      <c r="E7" s="42">
        <v>2</v>
      </c>
      <c r="F7" s="43"/>
      <c r="G7" s="42">
        <v>2</v>
      </c>
      <c r="H7" s="43"/>
      <c r="I7" s="42">
        <v>2</v>
      </c>
      <c r="J7" s="43"/>
      <c r="K7" s="42">
        <v>2</v>
      </c>
      <c r="L7" s="43"/>
      <c r="M7" s="42">
        <v>2</v>
      </c>
      <c r="N7" s="43"/>
      <c r="O7" s="42"/>
      <c r="P7" s="43"/>
      <c r="Q7" s="42"/>
      <c r="R7" s="43"/>
    </row>
    <row r="8" spans="1:22" x14ac:dyDescent="0.3">
      <c r="D8" s="1" t="s">
        <v>1</v>
      </c>
      <c r="E8" s="44">
        <v>45207</v>
      </c>
      <c r="F8" s="44"/>
      <c r="G8" s="58">
        <v>45241</v>
      </c>
      <c r="H8" s="59"/>
      <c r="I8" s="58">
        <v>45256</v>
      </c>
      <c r="J8" s="59"/>
      <c r="K8" s="58">
        <v>45339</v>
      </c>
      <c r="L8" s="59"/>
      <c r="M8" s="58">
        <v>45410</v>
      </c>
      <c r="N8" s="59"/>
      <c r="O8" s="44"/>
      <c r="P8" s="44"/>
      <c r="Q8" s="44"/>
      <c r="R8" s="44"/>
    </row>
    <row r="9" spans="1:22" x14ac:dyDescent="0.3">
      <c r="D9" s="1" t="s">
        <v>2</v>
      </c>
      <c r="E9" s="41">
        <v>6</v>
      </c>
      <c r="F9" s="41"/>
      <c r="G9" s="42">
        <v>8</v>
      </c>
      <c r="H9" s="43"/>
      <c r="I9" s="42">
        <v>6</v>
      </c>
      <c r="J9" s="43"/>
      <c r="K9" s="42">
        <v>12</v>
      </c>
      <c r="L9" s="43"/>
      <c r="M9" s="42">
        <v>0</v>
      </c>
      <c r="N9" s="43"/>
      <c r="O9" s="41">
        <v>0</v>
      </c>
      <c r="P9" s="41"/>
      <c r="Q9" s="41">
        <v>0</v>
      </c>
      <c r="R9" s="41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20</v>
      </c>
      <c r="V10" s="1" t="s">
        <v>22</v>
      </c>
    </row>
    <row r="11" spans="1:22" x14ac:dyDescent="0.3">
      <c r="A11" s="5">
        <f t="shared" ref="A11:A23" si="0">T11</f>
        <v>1</v>
      </c>
      <c r="B11" s="6" t="s">
        <v>183</v>
      </c>
      <c r="C11" s="6" t="s">
        <v>184</v>
      </c>
      <c r="D11" s="6" t="s">
        <v>185</v>
      </c>
      <c r="E11" s="13">
        <v>2</v>
      </c>
      <c r="F11" s="13">
        <f>IF(E11=0,,($E$9-E11)*$E$7*$E$9)</f>
        <v>48</v>
      </c>
      <c r="G11" s="13">
        <v>1</v>
      </c>
      <c r="H11" s="23">
        <f>IF(G11=0,,($G$9-G11)*$G$7*100/$G$9)</f>
        <v>175</v>
      </c>
      <c r="I11" s="6">
        <v>1</v>
      </c>
      <c r="J11" s="23">
        <f>IF(I11=0,,($I$9-I11)*$I$7*100/$I$9)</f>
        <v>166.66666666666666</v>
      </c>
      <c r="K11" s="6">
        <v>1</v>
      </c>
      <c r="L11" s="23">
        <f t="shared" ref="L11:L17" si="1">IF(K11=0,,($K$9-K11)*$K$7*100/$K$9)</f>
        <v>183.33333333333334</v>
      </c>
      <c r="M11" s="6"/>
      <c r="N11" s="6">
        <f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29" si="2">F11+L11+P11+N11+J11+H11</f>
        <v>573</v>
      </c>
      <c r="T11" s="6">
        <f t="shared" ref="T11:T28" si="3">ROW(B11)-10</f>
        <v>1</v>
      </c>
      <c r="U11" s="6">
        <f>COUNTA(E11,G11,I11,K11,M11,O11,Q11)</f>
        <v>4</v>
      </c>
      <c r="V11" s="16">
        <f t="shared" ref="V11:V23" si="4">U11/$G$3</f>
        <v>0.8</v>
      </c>
    </row>
    <row r="12" spans="1:22" x14ac:dyDescent="0.3">
      <c r="A12" s="5">
        <f t="shared" si="0"/>
        <v>2</v>
      </c>
      <c r="B12" s="6" t="s">
        <v>417</v>
      </c>
      <c r="C12" s="6" t="s">
        <v>418</v>
      </c>
      <c r="D12" s="6" t="s">
        <v>185</v>
      </c>
      <c r="E12" s="13"/>
      <c r="F12" s="13">
        <f>IF(E12=0,,($E$9-E12)*$E$7*100/$E$9)</f>
        <v>0</v>
      </c>
      <c r="G12" s="13">
        <v>2</v>
      </c>
      <c r="H12" s="23">
        <f>IF(G12=0,,($G$9-G12)*$G$7*100/$G$9)</f>
        <v>150</v>
      </c>
      <c r="I12" s="6"/>
      <c r="J12" s="23">
        <f>IF(I12=0,,($I$9-I12)*$I$7*100/$I$9)</f>
        <v>0</v>
      </c>
      <c r="K12" s="6">
        <v>5</v>
      </c>
      <c r="L12" s="23">
        <f t="shared" si="1"/>
        <v>116.66666666666667</v>
      </c>
      <c r="M12" s="6"/>
      <c r="N12" s="6">
        <f>IF(M12=0,,($M$9-M12)*$M$7*100/$M$9)</f>
        <v>0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8">
        <f t="shared" si="2"/>
        <v>266.66666666666669</v>
      </c>
      <c r="T12" s="6">
        <f t="shared" si="3"/>
        <v>2</v>
      </c>
      <c r="U12" s="6">
        <f t="shared" ref="U12:U23" si="5">COUNTA(E12,G12,I12,K12,M12,O12,Q12)</f>
        <v>2</v>
      </c>
      <c r="V12" s="16">
        <f t="shared" si="4"/>
        <v>0.4</v>
      </c>
    </row>
    <row r="13" spans="1:22" x14ac:dyDescent="0.3">
      <c r="A13" s="5">
        <f t="shared" si="0"/>
        <v>3</v>
      </c>
      <c r="B13" s="6" t="s">
        <v>181</v>
      </c>
      <c r="C13" s="6" t="s">
        <v>122</v>
      </c>
      <c r="D13" s="6" t="s">
        <v>182</v>
      </c>
      <c r="E13" s="13">
        <v>1</v>
      </c>
      <c r="F13" s="13">
        <f>IF(E13=0,,($E$9-E13)*$E$7*$E$9)</f>
        <v>60</v>
      </c>
      <c r="G13" s="13">
        <v>5</v>
      </c>
      <c r="H13" s="23">
        <f>IF(G13=0,,($G$9-G13)*$G$7*100/$G$9)</f>
        <v>75</v>
      </c>
      <c r="I13" s="6">
        <v>3</v>
      </c>
      <c r="J13" s="23">
        <f>IF(I13=0,,($I$9-I13)*$I$7*100/$I$9)</f>
        <v>100</v>
      </c>
      <c r="K13" s="6"/>
      <c r="L13" s="23">
        <f t="shared" si="1"/>
        <v>0</v>
      </c>
      <c r="M13" s="6"/>
      <c r="N13" s="6">
        <f>IF(M13=0,,($M$9-M13)*$M$7*100/$M$9)</f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2"/>
        <v>235</v>
      </c>
      <c r="T13" s="6">
        <f t="shared" si="3"/>
        <v>3</v>
      </c>
      <c r="U13" s="6">
        <f t="shared" si="5"/>
        <v>3</v>
      </c>
      <c r="V13" s="16">
        <f t="shared" si="4"/>
        <v>0.6</v>
      </c>
    </row>
    <row r="14" spans="1:22" x14ac:dyDescent="0.3">
      <c r="A14" s="5">
        <f t="shared" si="0"/>
        <v>4</v>
      </c>
      <c r="B14" s="6" t="s">
        <v>423</v>
      </c>
      <c r="C14" s="6" t="s">
        <v>424</v>
      </c>
      <c r="D14" s="6" t="s">
        <v>408</v>
      </c>
      <c r="E14" s="13"/>
      <c r="F14" s="13">
        <f>IF(E14=0,,($E$9-E14)*$E$7*100/$E$9)</f>
        <v>0</v>
      </c>
      <c r="G14" s="13">
        <v>6</v>
      </c>
      <c r="H14" s="23">
        <f>IF(G14=0,,($G$9-G14)*$G$7*100/$G$9)</f>
        <v>50</v>
      </c>
      <c r="I14" s="6"/>
      <c r="J14" s="23">
        <f>IF(I14=0,,($I$9-I14)*$I$7*100/$I$9)</f>
        <v>0</v>
      </c>
      <c r="K14" s="6">
        <v>3</v>
      </c>
      <c r="L14" s="23">
        <f t="shared" si="1"/>
        <v>150</v>
      </c>
      <c r="M14" s="6"/>
      <c r="N14" s="6">
        <f>IF(M14=0,,($M$9-M14)*$M$7*100/$M$9)</f>
        <v>0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8">
        <f t="shared" si="2"/>
        <v>200</v>
      </c>
      <c r="T14" s="6">
        <f t="shared" si="3"/>
        <v>4</v>
      </c>
      <c r="U14" s="6">
        <f t="shared" si="5"/>
        <v>2</v>
      </c>
      <c r="V14" s="16">
        <f t="shared" si="4"/>
        <v>0.4</v>
      </c>
    </row>
    <row r="15" spans="1:22" x14ac:dyDescent="0.3">
      <c r="A15" s="5">
        <f t="shared" si="0"/>
        <v>5</v>
      </c>
      <c r="B15" s="6" t="s">
        <v>731</v>
      </c>
      <c r="C15" s="6" t="s">
        <v>732</v>
      </c>
      <c r="D15" s="6" t="s">
        <v>688</v>
      </c>
      <c r="E15" s="13"/>
      <c r="F15" s="13"/>
      <c r="G15" s="13"/>
      <c r="H15" s="23"/>
      <c r="I15" s="6"/>
      <c r="J15" s="23"/>
      <c r="K15" s="6">
        <v>2</v>
      </c>
      <c r="L15" s="23">
        <f t="shared" si="1"/>
        <v>166.66666666666666</v>
      </c>
      <c r="M15" s="6"/>
      <c r="N15" s="6"/>
      <c r="O15" s="6"/>
      <c r="P15" s="7"/>
      <c r="Q15" s="6"/>
      <c r="R15" s="7"/>
      <c r="S15" s="8">
        <f t="shared" si="2"/>
        <v>166.66666666666666</v>
      </c>
      <c r="T15" s="6">
        <f t="shared" si="3"/>
        <v>5</v>
      </c>
      <c r="U15" s="6">
        <f t="shared" si="5"/>
        <v>1</v>
      </c>
      <c r="V15" s="16">
        <f t="shared" si="4"/>
        <v>0.2</v>
      </c>
    </row>
    <row r="16" spans="1:22" x14ac:dyDescent="0.3">
      <c r="A16" s="5">
        <f t="shared" si="0"/>
        <v>6</v>
      </c>
      <c r="B16" s="6" t="s">
        <v>492</v>
      </c>
      <c r="C16" s="6" t="s">
        <v>199</v>
      </c>
      <c r="D16" s="6" t="s">
        <v>494</v>
      </c>
      <c r="E16" s="13"/>
      <c r="F16" s="13">
        <f>IF(E16=0,,($E$9-E16)*$E$7*100/$E$9)</f>
        <v>0</v>
      </c>
      <c r="G16" s="13"/>
      <c r="H16" s="23">
        <f t="shared" ref="H16:H21" si="6">IF(G16=0,,($G$9-G16)*$G$7*100/$G$9)</f>
        <v>0</v>
      </c>
      <c r="I16" s="6">
        <v>2</v>
      </c>
      <c r="J16" s="23">
        <f t="shared" ref="J16:J21" si="7">IF(I16=0,,($I$9-I16)*$I$7*100/$I$9)</f>
        <v>133.33333333333334</v>
      </c>
      <c r="K16" s="6">
        <v>11</v>
      </c>
      <c r="L16" s="23">
        <f t="shared" si="1"/>
        <v>16.666666666666668</v>
      </c>
      <c r="M16" s="6"/>
      <c r="N16" s="6">
        <f t="shared" ref="N16:N21" si="8">IF(M16=0,,($M$9-M16)*$M$7*100/$M$9)</f>
        <v>0</v>
      </c>
      <c r="O16" s="6"/>
      <c r="P16" s="7">
        <f t="shared" ref="P16:P21" si="9">IF(O16=0,,($O$9-O16)*$O$7*100/$O$9)</f>
        <v>0</v>
      </c>
      <c r="Q16" s="6"/>
      <c r="R16" s="7">
        <f t="shared" ref="R16:R21" si="10">IF(Q16=0,,($Q$9-Q16)*$Q$7*100/$Q$9)</f>
        <v>0</v>
      </c>
      <c r="S16" s="8">
        <f t="shared" si="2"/>
        <v>150</v>
      </c>
      <c r="T16" s="6">
        <f t="shared" si="3"/>
        <v>6</v>
      </c>
      <c r="U16" s="6">
        <f t="shared" si="5"/>
        <v>2</v>
      </c>
      <c r="V16" s="16">
        <f t="shared" si="4"/>
        <v>0.4</v>
      </c>
    </row>
    <row r="17" spans="1:22" x14ac:dyDescent="0.3">
      <c r="A17" s="5">
        <f t="shared" si="0"/>
        <v>7</v>
      </c>
      <c r="B17" s="6" t="s">
        <v>251</v>
      </c>
      <c r="C17" s="6" t="s">
        <v>728</v>
      </c>
      <c r="D17" s="6" t="s">
        <v>729</v>
      </c>
      <c r="E17" s="13"/>
      <c r="F17" s="13">
        <f>IF(E17=0,,($E$9-E17)*$E$7*100/$E$9)</f>
        <v>0</v>
      </c>
      <c r="G17" s="13"/>
      <c r="H17" s="23">
        <f t="shared" si="6"/>
        <v>0</v>
      </c>
      <c r="I17" s="6"/>
      <c r="J17" s="23">
        <f t="shared" si="7"/>
        <v>0</v>
      </c>
      <c r="K17" s="6">
        <v>3</v>
      </c>
      <c r="L17" s="23">
        <f t="shared" si="1"/>
        <v>150</v>
      </c>
      <c r="M17" s="6"/>
      <c r="N17" s="6">
        <f t="shared" si="8"/>
        <v>0</v>
      </c>
      <c r="O17" s="6"/>
      <c r="P17" s="7">
        <f t="shared" si="9"/>
        <v>0</v>
      </c>
      <c r="Q17" s="6"/>
      <c r="R17" s="7">
        <f t="shared" si="10"/>
        <v>0</v>
      </c>
      <c r="S17" s="8">
        <f t="shared" si="2"/>
        <v>150</v>
      </c>
      <c r="T17" s="6">
        <f t="shared" si="3"/>
        <v>7</v>
      </c>
      <c r="U17" s="6">
        <f t="shared" si="5"/>
        <v>1</v>
      </c>
      <c r="V17" s="16">
        <f t="shared" si="4"/>
        <v>0.2</v>
      </c>
    </row>
    <row r="18" spans="1:22" x14ac:dyDescent="0.3">
      <c r="A18" s="5">
        <f t="shared" si="0"/>
        <v>8</v>
      </c>
      <c r="B18" s="6" t="s">
        <v>421</v>
      </c>
      <c r="C18" s="6" t="s">
        <v>422</v>
      </c>
      <c r="D18" s="6" t="s">
        <v>408</v>
      </c>
      <c r="E18" s="13"/>
      <c r="F18" s="13">
        <f>IF(E18=0,,($E$9-E18)*$E$7*100/$E$9)</f>
        <v>0</v>
      </c>
      <c r="G18" s="13">
        <v>3</v>
      </c>
      <c r="H18" s="23">
        <f t="shared" si="6"/>
        <v>125</v>
      </c>
      <c r="I18" s="6"/>
      <c r="J18" s="23">
        <f t="shared" si="7"/>
        <v>0</v>
      </c>
      <c r="K18" s="6">
        <v>12</v>
      </c>
      <c r="L18" s="23">
        <f>11/2</f>
        <v>5.5</v>
      </c>
      <c r="M18" s="6"/>
      <c r="N18" s="6">
        <f t="shared" si="8"/>
        <v>0</v>
      </c>
      <c r="O18" s="6"/>
      <c r="P18" s="7">
        <f t="shared" si="9"/>
        <v>0</v>
      </c>
      <c r="Q18" s="6"/>
      <c r="R18" s="7">
        <f t="shared" si="10"/>
        <v>0</v>
      </c>
      <c r="S18" s="8">
        <f t="shared" si="2"/>
        <v>130.5</v>
      </c>
      <c r="T18" s="6">
        <f t="shared" si="3"/>
        <v>8</v>
      </c>
      <c r="U18" s="6">
        <f t="shared" si="5"/>
        <v>2</v>
      </c>
      <c r="V18" s="16">
        <f t="shared" si="4"/>
        <v>0.4</v>
      </c>
    </row>
    <row r="19" spans="1:22" x14ac:dyDescent="0.3">
      <c r="A19" s="6">
        <f t="shared" si="0"/>
        <v>9</v>
      </c>
      <c r="B19" s="6" t="s">
        <v>419</v>
      </c>
      <c r="C19" s="6" t="s">
        <v>420</v>
      </c>
      <c r="D19" s="6" t="s">
        <v>278</v>
      </c>
      <c r="E19" s="13"/>
      <c r="F19" s="13"/>
      <c r="G19" s="13">
        <v>3</v>
      </c>
      <c r="H19" s="23">
        <f t="shared" si="6"/>
        <v>125</v>
      </c>
      <c r="I19" s="6"/>
      <c r="J19" s="23">
        <f t="shared" si="7"/>
        <v>0</v>
      </c>
      <c r="K19" s="6"/>
      <c r="L19" s="23">
        <f t="shared" ref="L19:L29" si="11">IF(K19=0,,($K$9-K19)*$K$7*100/$K$9)</f>
        <v>0</v>
      </c>
      <c r="M19" s="6"/>
      <c r="N19" s="6">
        <f t="shared" si="8"/>
        <v>0</v>
      </c>
      <c r="O19" s="6"/>
      <c r="P19" s="7">
        <f t="shared" si="9"/>
        <v>0</v>
      </c>
      <c r="Q19" s="6"/>
      <c r="R19" s="7">
        <f t="shared" si="10"/>
        <v>0</v>
      </c>
      <c r="S19" s="8">
        <f t="shared" si="2"/>
        <v>125</v>
      </c>
      <c r="T19" s="6">
        <f t="shared" si="3"/>
        <v>9</v>
      </c>
      <c r="U19" s="6">
        <f t="shared" si="5"/>
        <v>1</v>
      </c>
      <c r="V19" s="16">
        <f t="shared" si="4"/>
        <v>0.2</v>
      </c>
    </row>
    <row r="20" spans="1:22" x14ac:dyDescent="0.3">
      <c r="A20" s="5">
        <f t="shared" si="0"/>
        <v>10</v>
      </c>
      <c r="B20" s="6" t="s">
        <v>192</v>
      </c>
      <c r="C20" s="6" t="s">
        <v>193</v>
      </c>
      <c r="D20" s="6" t="s">
        <v>164</v>
      </c>
      <c r="E20" s="13">
        <v>6</v>
      </c>
      <c r="F20" s="13">
        <f>IF(E20=0,,($E$9-E20)*$E$7*100/$E$9)</f>
        <v>0</v>
      </c>
      <c r="G20" s="13">
        <v>7</v>
      </c>
      <c r="H20" s="23">
        <f t="shared" si="6"/>
        <v>25</v>
      </c>
      <c r="I20" s="6"/>
      <c r="J20" s="23">
        <f t="shared" si="7"/>
        <v>0</v>
      </c>
      <c r="K20" s="6">
        <v>6</v>
      </c>
      <c r="L20" s="23">
        <f t="shared" si="11"/>
        <v>100</v>
      </c>
      <c r="M20" s="6"/>
      <c r="N20" s="6">
        <f t="shared" si="8"/>
        <v>0</v>
      </c>
      <c r="O20" s="6"/>
      <c r="P20" s="7">
        <f t="shared" si="9"/>
        <v>0</v>
      </c>
      <c r="Q20" s="6"/>
      <c r="R20" s="7">
        <f t="shared" si="10"/>
        <v>0</v>
      </c>
      <c r="S20" s="8">
        <f t="shared" si="2"/>
        <v>125</v>
      </c>
      <c r="T20" s="6">
        <f t="shared" si="3"/>
        <v>10</v>
      </c>
      <c r="U20" s="6">
        <f t="shared" si="5"/>
        <v>3</v>
      </c>
      <c r="V20" s="16">
        <f t="shared" si="4"/>
        <v>0.6</v>
      </c>
    </row>
    <row r="21" spans="1:22" x14ac:dyDescent="0.3">
      <c r="A21" s="5">
        <f t="shared" si="0"/>
        <v>11</v>
      </c>
      <c r="B21" s="6" t="s">
        <v>493</v>
      </c>
      <c r="C21" s="6" t="s">
        <v>122</v>
      </c>
      <c r="D21" s="6" t="s">
        <v>494</v>
      </c>
      <c r="E21" s="13"/>
      <c r="F21" s="13">
        <f>IF(E21=0,,($E$9-E21)*$E$7*100/$E$9)</f>
        <v>0</v>
      </c>
      <c r="G21" s="13"/>
      <c r="H21" s="23">
        <f t="shared" si="6"/>
        <v>0</v>
      </c>
      <c r="I21" s="6">
        <v>3</v>
      </c>
      <c r="J21" s="23">
        <f t="shared" si="7"/>
        <v>100</v>
      </c>
      <c r="K21" s="6"/>
      <c r="L21" s="23">
        <f t="shared" si="11"/>
        <v>0</v>
      </c>
      <c r="M21" s="6"/>
      <c r="N21" s="6">
        <f t="shared" si="8"/>
        <v>0</v>
      </c>
      <c r="O21" s="6"/>
      <c r="P21" s="7">
        <f t="shared" si="9"/>
        <v>0</v>
      </c>
      <c r="Q21" s="6"/>
      <c r="R21" s="7">
        <f t="shared" si="10"/>
        <v>0</v>
      </c>
      <c r="S21" s="8">
        <f t="shared" si="2"/>
        <v>100</v>
      </c>
      <c r="T21" s="6">
        <f t="shared" si="3"/>
        <v>11</v>
      </c>
      <c r="U21" s="6">
        <f t="shared" si="5"/>
        <v>1</v>
      </c>
      <c r="V21" s="16">
        <f t="shared" si="4"/>
        <v>0.2</v>
      </c>
    </row>
    <row r="22" spans="1:22" x14ac:dyDescent="0.3">
      <c r="A22" s="5">
        <f t="shared" si="0"/>
        <v>12</v>
      </c>
      <c r="B22" s="6" t="s">
        <v>733</v>
      </c>
      <c r="C22" s="6" t="s">
        <v>730</v>
      </c>
      <c r="D22" s="6" t="s">
        <v>408</v>
      </c>
      <c r="E22" s="13"/>
      <c r="F22" s="13"/>
      <c r="G22" s="13"/>
      <c r="H22" s="23"/>
      <c r="I22" s="6"/>
      <c r="J22" s="23"/>
      <c r="K22" s="6">
        <v>7</v>
      </c>
      <c r="L22" s="23">
        <f t="shared" si="11"/>
        <v>83.333333333333329</v>
      </c>
      <c r="M22" s="6"/>
      <c r="N22" s="6"/>
      <c r="O22" s="6"/>
      <c r="P22" s="7"/>
      <c r="Q22" s="6"/>
      <c r="R22" s="7"/>
      <c r="S22" s="8">
        <f t="shared" si="2"/>
        <v>83.333333333333329</v>
      </c>
      <c r="T22" s="6">
        <f t="shared" si="3"/>
        <v>12</v>
      </c>
      <c r="U22" s="6">
        <f t="shared" si="5"/>
        <v>1</v>
      </c>
      <c r="V22" s="16">
        <f t="shared" si="4"/>
        <v>0.2</v>
      </c>
    </row>
    <row r="23" spans="1:22" x14ac:dyDescent="0.3">
      <c r="A23" s="5">
        <f t="shared" si="0"/>
        <v>13</v>
      </c>
      <c r="B23" s="6" t="s">
        <v>734</v>
      </c>
      <c r="C23" s="6" t="s">
        <v>735</v>
      </c>
      <c r="D23" s="6" t="s">
        <v>182</v>
      </c>
      <c r="E23" s="13"/>
      <c r="F23" s="13"/>
      <c r="G23" s="13"/>
      <c r="H23" s="23"/>
      <c r="I23" s="6"/>
      <c r="J23" s="23"/>
      <c r="K23" s="6">
        <v>8</v>
      </c>
      <c r="L23" s="23">
        <f t="shared" si="11"/>
        <v>66.666666666666671</v>
      </c>
      <c r="M23" s="6"/>
      <c r="N23" s="6"/>
      <c r="O23" s="6"/>
      <c r="P23" s="7"/>
      <c r="Q23" s="6"/>
      <c r="R23" s="7"/>
      <c r="S23" s="8">
        <f t="shared" si="2"/>
        <v>66.666666666666671</v>
      </c>
      <c r="T23" s="6">
        <f t="shared" si="3"/>
        <v>13</v>
      </c>
      <c r="U23" s="6">
        <f t="shared" si="5"/>
        <v>1</v>
      </c>
      <c r="V23" s="16">
        <f t="shared" si="4"/>
        <v>0.2</v>
      </c>
    </row>
    <row r="24" spans="1:22" x14ac:dyDescent="0.3">
      <c r="A24" s="5">
        <v>14</v>
      </c>
      <c r="B24" s="6" t="s">
        <v>736</v>
      </c>
      <c r="C24" s="6" t="s">
        <v>199</v>
      </c>
      <c r="D24" s="6" t="s">
        <v>408</v>
      </c>
      <c r="E24" s="13"/>
      <c r="F24" s="13"/>
      <c r="G24" s="13"/>
      <c r="H24" s="23"/>
      <c r="I24" s="6"/>
      <c r="J24" s="23"/>
      <c r="K24" s="6">
        <v>9</v>
      </c>
      <c r="L24" s="23">
        <f t="shared" si="11"/>
        <v>50</v>
      </c>
      <c r="M24" s="6"/>
      <c r="N24" s="6"/>
      <c r="O24" s="6"/>
      <c r="P24" s="7"/>
      <c r="Q24" s="6"/>
      <c r="R24" s="7"/>
      <c r="S24" s="8">
        <f t="shared" si="2"/>
        <v>50</v>
      </c>
      <c r="T24" s="6">
        <f t="shared" si="3"/>
        <v>14</v>
      </c>
      <c r="U24" s="6"/>
      <c r="V24" s="16"/>
    </row>
    <row r="25" spans="1:22" x14ac:dyDescent="0.3">
      <c r="A25" s="5">
        <v>15</v>
      </c>
      <c r="B25" s="6" t="s">
        <v>189</v>
      </c>
      <c r="C25" s="6" t="s">
        <v>128</v>
      </c>
      <c r="D25" s="6" t="s">
        <v>185</v>
      </c>
      <c r="E25" s="13">
        <v>4</v>
      </c>
      <c r="F25" s="13">
        <f>IF(E25=0,,($E$9-E25)*$E$7*$E$9)</f>
        <v>24</v>
      </c>
      <c r="G25" s="13">
        <v>8</v>
      </c>
      <c r="H25" s="23">
        <v>12.5</v>
      </c>
      <c r="I25" s="6">
        <v>6</v>
      </c>
      <c r="J25" s="23">
        <f>IF(I25=0,,($I$9-I25)*$I$7*100/$I$9)</f>
        <v>0</v>
      </c>
      <c r="K25" s="6"/>
      <c r="L25" s="23">
        <f t="shared" si="11"/>
        <v>0</v>
      </c>
      <c r="M25" s="6"/>
      <c r="N25" s="6">
        <f>IF(M25=0,,($M$9-M25)*$M$7*100/$M$9)</f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2"/>
        <v>36.5</v>
      </c>
      <c r="T25" s="6">
        <f t="shared" si="3"/>
        <v>15</v>
      </c>
      <c r="U25" s="6"/>
      <c r="V25" s="16"/>
    </row>
    <row r="26" spans="1:22" x14ac:dyDescent="0.3">
      <c r="A26" s="5">
        <v>16</v>
      </c>
      <c r="B26" s="6" t="s">
        <v>186</v>
      </c>
      <c r="C26" s="6" t="s">
        <v>187</v>
      </c>
      <c r="D26" s="6" t="s">
        <v>188</v>
      </c>
      <c r="E26" s="13">
        <v>3</v>
      </c>
      <c r="F26" s="13">
        <f>IF(E26=0,,($E$9-E26)*$E$7*$E$9)</f>
        <v>36</v>
      </c>
      <c r="G26" s="13"/>
      <c r="H26" s="23">
        <f>IF(G26=0,,($G$9-G26)*$G$7*100/$G$9)</f>
        <v>0</v>
      </c>
      <c r="I26" s="6"/>
      <c r="J26" s="23">
        <f>IF(I26=0,,($I$9-I26)*$I$7*100/$I$9)</f>
        <v>0</v>
      </c>
      <c r="K26" s="6"/>
      <c r="L26" s="23">
        <f t="shared" si="11"/>
        <v>0</v>
      </c>
      <c r="M26" s="6"/>
      <c r="N26" s="6">
        <f>IF(M26=0,,($M$9-M26)*$M$7*100/$M$9)</f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2"/>
        <v>36</v>
      </c>
      <c r="T26" s="6">
        <f t="shared" si="3"/>
        <v>16</v>
      </c>
      <c r="U26" s="6"/>
      <c r="V26" s="16"/>
    </row>
    <row r="27" spans="1:22" x14ac:dyDescent="0.3">
      <c r="A27" s="5">
        <v>17</v>
      </c>
      <c r="B27" s="6" t="s">
        <v>495</v>
      </c>
      <c r="C27" s="6" t="s">
        <v>496</v>
      </c>
      <c r="D27" s="6" t="s">
        <v>494</v>
      </c>
      <c r="E27" s="13"/>
      <c r="F27" s="13">
        <f>IF(E27=0,,($E$9-E27)*$E$7*100/$E$9)</f>
        <v>0</v>
      </c>
      <c r="G27" s="13"/>
      <c r="H27" s="23">
        <f>IF(G27=0,,($G$9-G27)*$G$7*100/$G$9)</f>
        <v>0</v>
      </c>
      <c r="I27" s="6">
        <v>5</v>
      </c>
      <c r="J27" s="23">
        <f>IF(I27=0,,($I$9-I27)*$I$7*100/$I$9)</f>
        <v>33.333333333333336</v>
      </c>
      <c r="K27" s="6"/>
      <c r="L27" s="23">
        <f t="shared" si="11"/>
        <v>0</v>
      </c>
      <c r="M27" s="6"/>
      <c r="N27" s="6">
        <f>IF(M27=0,,($M$9-M27)*$M$7*100/$M$9)</f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2"/>
        <v>33.333333333333336</v>
      </c>
      <c r="T27" s="6">
        <f t="shared" si="3"/>
        <v>17</v>
      </c>
      <c r="U27" s="6"/>
      <c r="V27" s="16"/>
    </row>
    <row r="28" spans="1:22" x14ac:dyDescent="0.3">
      <c r="A28" s="5">
        <v>18</v>
      </c>
      <c r="B28" s="6" t="s">
        <v>737</v>
      </c>
      <c r="C28" s="6" t="s">
        <v>738</v>
      </c>
      <c r="D28" s="6" t="s">
        <v>408</v>
      </c>
      <c r="E28" s="13"/>
      <c r="F28" s="13"/>
      <c r="G28" s="13"/>
      <c r="H28" s="23"/>
      <c r="I28" s="6"/>
      <c r="J28" s="23"/>
      <c r="K28" s="6">
        <v>10</v>
      </c>
      <c r="L28" s="23">
        <f t="shared" si="11"/>
        <v>33.333333333333336</v>
      </c>
      <c r="M28" s="6"/>
      <c r="N28" s="6"/>
      <c r="O28" s="6"/>
      <c r="P28" s="7"/>
      <c r="Q28" s="6"/>
      <c r="R28" s="7"/>
      <c r="S28" s="8">
        <f t="shared" si="2"/>
        <v>33.333333333333336</v>
      </c>
      <c r="T28" s="6">
        <f t="shared" si="3"/>
        <v>18</v>
      </c>
      <c r="U28" s="6"/>
      <c r="V28" s="16"/>
    </row>
    <row r="29" spans="1:22" x14ac:dyDescent="0.3">
      <c r="A29" s="5">
        <f t="shared" ref="A29" si="12">T29</f>
        <v>19</v>
      </c>
      <c r="B29" s="6" t="s">
        <v>190</v>
      </c>
      <c r="C29" s="6" t="s">
        <v>191</v>
      </c>
      <c r="D29" s="6" t="s">
        <v>164</v>
      </c>
      <c r="E29" s="13">
        <v>5</v>
      </c>
      <c r="F29" s="13">
        <f>IF(E29=0,,($E$9-E29)*$E$7*$E$9)</f>
        <v>12</v>
      </c>
      <c r="G29" s="13"/>
      <c r="H29" s="23">
        <f>IF(G29=0,,($G$9-G29)*$G$7*100/$G$9)</f>
        <v>0</v>
      </c>
      <c r="I29" s="6"/>
      <c r="J29" s="23">
        <f>IF(I29=0,,($I$9-I29)*$I$7*100/$I$9)</f>
        <v>0</v>
      </c>
      <c r="K29" s="6"/>
      <c r="L29" s="23">
        <f t="shared" si="11"/>
        <v>0</v>
      </c>
      <c r="M29" s="6"/>
      <c r="N29" s="6">
        <f>IF(M29=0,,($M$9-M29)*$M$7*100/$M$9)</f>
        <v>0</v>
      </c>
      <c r="O29" s="6"/>
      <c r="P29" s="7">
        <f>IF(O29=0,,($O$9-O29)*$O$7*100/$O$9)</f>
        <v>0</v>
      </c>
      <c r="Q29" s="6"/>
      <c r="R29" s="7">
        <f>IF(Q29=0,,($Q$9-Q29)*$Q$7*100/$Q$9)</f>
        <v>0</v>
      </c>
      <c r="S29" s="8">
        <f t="shared" si="2"/>
        <v>12</v>
      </c>
      <c r="T29" s="6">
        <f t="shared" ref="T29" si="13">ROW(B29)-10</f>
        <v>19</v>
      </c>
      <c r="U29" s="6">
        <f t="shared" ref="U29" si="14">COUNTA(E29,G29,I29,K29,M29,O29,Q29)</f>
        <v>1</v>
      </c>
      <c r="V29" s="16">
        <f t="shared" ref="V29" si="15">U29/$G$3</f>
        <v>0.2</v>
      </c>
    </row>
    <row r="30" spans="1:22" x14ac:dyDescent="0.3">
      <c r="A30" s="45" t="s">
        <v>11</v>
      </c>
      <c r="B30" s="45"/>
      <c r="C30" s="46"/>
      <c r="E30">
        <f>COUNTA(E11:E29)</f>
        <v>6</v>
      </c>
      <c r="G30">
        <f>COUNTA(G11:G29)</f>
        <v>8</v>
      </c>
      <c r="I30">
        <f>COUNTA(I11:I29)</f>
        <v>6</v>
      </c>
      <c r="K30">
        <f>COUNTA(K11:K29)</f>
        <v>12</v>
      </c>
      <c r="M30">
        <f>COUNTA(M11:M29)</f>
        <v>0</v>
      </c>
      <c r="O30">
        <f>COUNTA(O11:O29)</f>
        <v>0</v>
      </c>
      <c r="Q30">
        <f>COUNTA(Q11:Q29)</f>
        <v>0</v>
      </c>
    </row>
    <row r="31" spans="1:22" x14ac:dyDescent="0.3">
      <c r="A31" s="55" t="s">
        <v>21</v>
      </c>
      <c r="B31" s="55"/>
      <c r="C31" s="55"/>
      <c r="E31" s="15">
        <f>E30/$G$2</f>
        <v>0.31578947368421051</v>
      </c>
      <c r="G31" s="15">
        <f>G30/$G$2</f>
        <v>0.42105263157894735</v>
      </c>
      <c r="I31" s="15">
        <f>I30/$G$2</f>
        <v>0.31578947368421051</v>
      </c>
      <c r="K31" s="15">
        <f>K30/$G$2</f>
        <v>0.63157894736842102</v>
      </c>
      <c r="M31" s="15">
        <f>M30/$G$2</f>
        <v>0</v>
      </c>
      <c r="O31" s="15">
        <f>O30/$G$2</f>
        <v>0</v>
      </c>
      <c r="Q31" s="15">
        <f>Q30/$G$2</f>
        <v>0</v>
      </c>
    </row>
  </sheetData>
  <sortState xmlns:xlrd2="http://schemas.microsoft.com/office/spreadsheetml/2017/richdata2" ref="B11:S29">
    <sortCondition descending="1" ref="S11:S29"/>
  </sortState>
  <mergeCells count="33">
    <mergeCell ref="A30:C30"/>
    <mergeCell ref="K8:L8"/>
    <mergeCell ref="E8:F8"/>
    <mergeCell ref="M8:N8"/>
    <mergeCell ref="K9:L9"/>
    <mergeCell ref="E9:F9"/>
    <mergeCell ref="M9:N9"/>
    <mergeCell ref="I8:J8"/>
    <mergeCell ref="I9:J9"/>
    <mergeCell ref="I7:J7"/>
    <mergeCell ref="E2:F2"/>
    <mergeCell ref="E3:F3"/>
    <mergeCell ref="Q8:R8"/>
    <mergeCell ref="Q9:R9"/>
    <mergeCell ref="G6:H6"/>
    <mergeCell ref="O8:P8"/>
    <mergeCell ref="O9:P9"/>
    <mergeCell ref="A31:C31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N5" sqref="N5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77734375" bestFit="1" customWidth="1"/>
    <col min="5" max="5" width="11.44140625" customWidth="1"/>
    <col min="6" max="6" width="17.6640625" customWidth="1"/>
    <col min="7" max="12" width="11.44140625" customWidth="1"/>
    <col min="14" max="14" width="18.33203125" bestFit="1" customWidth="1"/>
    <col min="15" max="15" width="12.33203125" bestFit="1" customWidth="1"/>
    <col min="16" max="16" width="19.6640625" bestFit="1" customWidth="1"/>
  </cols>
  <sheetData>
    <row r="1" spans="1:16" ht="31.2" x14ac:dyDescent="0.6">
      <c r="A1" s="47" t="s">
        <v>119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6" x14ac:dyDescent="0.3">
      <c r="E2" s="54" t="s">
        <v>18</v>
      </c>
      <c r="F2" s="54"/>
      <c r="G2" s="14">
        <f>COUNTA(B11:B40)</f>
        <v>6</v>
      </c>
    </row>
    <row r="3" spans="1:16" x14ac:dyDescent="0.3">
      <c r="B3" s="2"/>
      <c r="E3" s="54" t="s">
        <v>19</v>
      </c>
      <c r="F3" s="54"/>
      <c r="G3" s="14">
        <f>COUNTA(E8:L8)</f>
        <v>4</v>
      </c>
    </row>
    <row r="4" spans="1:16" x14ac:dyDescent="0.3">
      <c r="B4" s="2"/>
      <c r="C4" s="3"/>
    </row>
    <row r="6" spans="1:16" x14ac:dyDescent="0.3">
      <c r="D6" s="1" t="s">
        <v>0</v>
      </c>
      <c r="E6" s="41" t="s">
        <v>30</v>
      </c>
      <c r="F6" s="41"/>
      <c r="G6" s="42" t="s">
        <v>117</v>
      </c>
      <c r="H6" s="43"/>
      <c r="I6" s="41" t="s">
        <v>118</v>
      </c>
      <c r="J6" s="41"/>
      <c r="K6" s="41" t="s">
        <v>116</v>
      </c>
      <c r="L6" s="41"/>
    </row>
    <row r="7" spans="1:16" x14ac:dyDescent="0.3">
      <c r="D7" s="1" t="s">
        <v>10</v>
      </c>
      <c r="E7" s="42">
        <v>2</v>
      </c>
      <c r="F7" s="43"/>
      <c r="G7" s="42">
        <v>2</v>
      </c>
      <c r="H7" s="43"/>
      <c r="I7" s="42">
        <v>2</v>
      </c>
      <c r="J7" s="43"/>
      <c r="K7" s="42">
        <v>2</v>
      </c>
      <c r="L7" s="43"/>
    </row>
    <row r="8" spans="1:16" x14ac:dyDescent="0.3">
      <c r="D8" s="1" t="s">
        <v>1</v>
      </c>
      <c r="E8" s="58">
        <v>45241</v>
      </c>
      <c r="F8" s="59"/>
      <c r="G8" s="58">
        <v>45256</v>
      </c>
      <c r="H8" s="59"/>
      <c r="I8" s="44">
        <v>45339</v>
      </c>
      <c r="J8" s="44"/>
      <c r="K8" s="44">
        <v>45410</v>
      </c>
      <c r="L8" s="44"/>
    </row>
    <row r="9" spans="1:16" x14ac:dyDescent="0.3">
      <c r="D9" s="1" t="s">
        <v>2</v>
      </c>
      <c r="E9" s="41">
        <v>0</v>
      </c>
      <c r="F9" s="41"/>
      <c r="G9" s="42">
        <v>1</v>
      </c>
      <c r="H9" s="43"/>
      <c r="I9" s="41">
        <v>5</v>
      </c>
      <c r="J9" s="41"/>
      <c r="K9" s="41">
        <v>0</v>
      </c>
      <c r="L9" s="41"/>
    </row>
    <row r="10" spans="1:1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20</v>
      </c>
      <c r="P10" s="1" t="s">
        <v>22</v>
      </c>
    </row>
    <row r="11" spans="1:16" x14ac:dyDescent="0.3">
      <c r="A11" s="19">
        <v>1</v>
      </c>
      <c r="B11" s="13" t="s">
        <v>279</v>
      </c>
      <c r="C11" s="13" t="s">
        <v>686</v>
      </c>
      <c r="D11" s="13" t="s">
        <v>131</v>
      </c>
      <c r="E11" s="6"/>
      <c r="F11" s="7">
        <f t="shared" ref="F11:F16" si="0">IF(E11=0,,($E$9-E11)*$E$7*100/$E$9)</f>
        <v>0</v>
      </c>
      <c r="G11" s="6"/>
      <c r="H11" s="6">
        <f>IF(G11=0,,($G$9-G11)*$G$7*100/$G$9)</f>
        <v>0</v>
      </c>
      <c r="I11" s="6">
        <v>1</v>
      </c>
      <c r="J11" s="7">
        <f>IF(I11=0,,($I$9-I11)*$I$7*100/$I$9)</f>
        <v>160</v>
      </c>
      <c r="K11" s="6"/>
      <c r="L11" s="7">
        <f t="shared" ref="L11:L16" si="1">IF(K11=0,,($K$9-K11)*$K$7*100/$K$9)</f>
        <v>0</v>
      </c>
      <c r="M11" s="8">
        <f t="shared" ref="M11:M16" si="2">F11+H11+J11+L11</f>
        <v>160</v>
      </c>
      <c r="N11" s="6">
        <f t="shared" ref="N11:N40" si="3">ROW(B11)-10</f>
        <v>1</v>
      </c>
      <c r="O11" s="6">
        <f t="shared" ref="O11:O40" si="4">COUNTA(E11,G11,I11,K11)</f>
        <v>1</v>
      </c>
      <c r="P11" s="16">
        <f t="shared" ref="P11:P40" si="5">O11/$G$3</f>
        <v>0.25</v>
      </c>
    </row>
    <row r="12" spans="1:16" x14ac:dyDescent="0.3">
      <c r="A12" s="19">
        <v>2</v>
      </c>
      <c r="B12" s="13" t="s">
        <v>687</v>
      </c>
      <c r="C12" s="13" t="s">
        <v>498</v>
      </c>
      <c r="D12" s="13" t="s">
        <v>688</v>
      </c>
      <c r="E12" s="6"/>
      <c r="F12" s="7">
        <f t="shared" si="0"/>
        <v>0</v>
      </c>
      <c r="G12" s="6"/>
      <c r="H12" s="6">
        <f>IF(G12=0,,($G$9-G12)*$G$7*100/$G$9)</f>
        <v>0</v>
      </c>
      <c r="I12" s="6">
        <v>2</v>
      </c>
      <c r="J12" s="7">
        <f>IF(I12=0,,($I$9-I12)*$I$7*100/$I$9)</f>
        <v>120</v>
      </c>
      <c r="K12" s="6"/>
      <c r="L12" s="7">
        <f t="shared" si="1"/>
        <v>0</v>
      </c>
      <c r="M12" s="8">
        <f t="shared" si="2"/>
        <v>120</v>
      </c>
      <c r="N12" s="6">
        <f t="shared" si="3"/>
        <v>2</v>
      </c>
      <c r="O12" s="6">
        <f t="shared" si="4"/>
        <v>1</v>
      </c>
      <c r="P12" s="16">
        <f t="shared" si="5"/>
        <v>0.25</v>
      </c>
    </row>
    <row r="13" spans="1:16" x14ac:dyDescent="0.3">
      <c r="A13" s="19">
        <v>3</v>
      </c>
      <c r="B13" s="13" t="s">
        <v>497</v>
      </c>
      <c r="C13" s="13" t="s">
        <v>498</v>
      </c>
      <c r="D13" s="13" t="s">
        <v>499</v>
      </c>
      <c r="E13" s="6"/>
      <c r="F13" s="7">
        <f t="shared" si="0"/>
        <v>0</v>
      </c>
      <c r="G13" s="6">
        <v>1</v>
      </c>
      <c r="H13" s="7">
        <v>100</v>
      </c>
      <c r="I13" s="6"/>
      <c r="J13" s="7">
        <f>IF(I13=0,,($I$9-I13)*$I$7*100/$I$9)</f>
        <v>0</v>
      </c>
      <c r="K13" s="6"/>
      <c r="L13" s="7">
        <f t="shared" si="1"/>
        <v>0</v>
      </c>
      <c r="M13" s="8">
        <f t="shared" si="2"/>
        <v>100</v>
      </c>
      <c r="N13" s="6">
        <f t="shared" si="3"/>
        <v>3</v>
      </c>
      <c r="O13" s="6">
        <f t="shared" si="4"/>
        <v>1</v>
      </c>
      <c r="P13" s="16">
        <f t="shared" si="5"/>
        <v>0.25</v>
      </c>
    </row>
    <row r="14" spans="1:16" x14ac:dyDescent="0.3">
      <c r="A14" s="19">
        <v>4</v>
      </c>
      <c r="B14" s="13" t="s">
        <v>689</v>
      </c>
      <c r="C14" s="13" t="s">
        <v>690</v>
      </c>
      <c r="D14" s="13" t="s">
        <v>273</v>
      </c>
      <c r="E14" s="6"/>
      <c r="F14" s="7">
        <f t="shared" si="0"/>
        <v>0</v>
      </c>
      <c r="G14" s="6"/>
      <c r="H14" s="6">
        <f>IF(G14=0,,($G$9-G14)*$G$7*100/$G$9)</f>
        <v>0</v>
      </c>
      <c r="I14" s="6">
        <v>3</v>
      </c>
      <c r="J14" s="7">
        <f>IF(I14=0,,($I$9-I14)*$I$7*100/$I$9)</f>
        <v>80</v>
      </c>
      <c r="K14" s="6"/>
      <c r="L14" s="7">
        <f t="shared" si="1"/>
        <v>0</v>
      </c>
      <c r="M14" s="8">
        <f t="shared" si="2"/>
        <v>80</v>
      </c>
      <c r="N14" s="6">
        <f t="shared" si="3"/>
        <v>4</v>
      </c>
      <c r="O14" s="6">
        <f t="shared" si="4"/>
        <v>1</v>
      </c>
      <c r="P14" s="16">
        <f t="shared" si="5"/>
        <v>0.25</v>
      </c>
    </row>
    <row r="15" spans="1:16" x14ac:dyDescent="0.3">
      <c r="A15" s="19">
        <v>5</v>
      </c>
      <c r="B15" s="13" t="s">
        <v>691</v>
      </c>
      <c r="C15" s="13" t="s">
        <v>692</v>
      </c>
      <c r="D15" s="13" t="s">
        <v>688</v>
      </c>
      <c r="E15" s="6"/>
      <c r="F15" s="7">
        <f t="shared" si="0"/>
        <v>0</v>
      </c>
      <c r="G15" s="6"/>
      <c r="H15" s="6">
        <f>IF(G15=0,,($G$9-G15)*$G$7*100/$G$9)</f>
        <v>0</v>
      </c>
      <c r="I15" s="6">
        <v>4</v>
      </c>
      <c r="J15" s="7">
        <f>IF(I15=0,,($I$9-I15)*$I$7*100/$I$9)</f>
        <v>40</v>
      </c>
      <c r="K15" s="6"/>
      <c r="L15" s="7">
        <f t="shared" si="1"/>
        <v>0</v>
      </c>
      <c r="M15" s="8">
        <f t="shared" si="2"/>
        <v>40</v>
      </c>
      <c r="N15" s="6">
        <f t="shared" si="3"/>
        <v>5</v>
      </c>
      <c r="O15" s="6">
        <f t="shared" si="4"/>
        <v>1</v>
      </c>
      <c r="P15" s="16">
        <f t="shared" si="5"/>
        <v>0.25</v>
      </c>
    </row>
    <row r="16" spans="1:16" x14ac:dyDescent="0.3">
      <c r="A16" s="19">
        <v>6</v>
      </c>
      <c r="B16" s="13" t="s">
        <v>693</v>
      </c>
      <c r="C16" s="13" t="s">
        <v>694</v>
      </c>
      <c r="D16" s="13" t="s">
        <v>273</v>
      </c>
      <c r="E16" s="6"/>
      <c r="F16" s="7">
        <f t="shared" si="0"/>
        <v>0</v>
      </c>
      <c r="G16" s="6"/>
      <c r="H16" s="6">
        <f>IF(G16=0,,($G$9-G16)*$G$7*100/$G$9)</f>
        <v>0</v>
      </c>
      <c r="I16" s="6">
        <v>5</v>
      </c>
      <c r="J16" s="7">
        <f>40/2</f>
        <v>20</v>
      </c>
      <c r="K16" s="6"/>
      <c r="L16" s="7">
        <f t="shared" si="1"/>
        <v>0</v>
      </c>
      <c r="M16" s="8">
        <f t="shared" si="2"/>
        <v>20</v>
      </c>
      <c r="N16" s="6">
        <f t="shared" si="3"/>
        <v>6</v>
      </c>
      <c r="O16" s="6">
        <f t="shared" si="4"/>
        <v>1</v>
      </c>
      <c r="P16" s="16">
        <f t="shared" si="5"/>
        <v>0.25</v>
      </c>
    </row>
    <row r="17" spans="1:16" x14ac:dyDescent="0.3">
      <c r="A17" s="5"/>
      <c r="B17" s="6"/>
      <c r="C17" s="6"/>
      <c r="D17" s="6"/>
      <c r="E17" s="6"/>
      <c r="F17" s="7">
        <f t="shared" ref="F17:F40" si="6">IF(E17=0,,($E$9-E17)*$E$7*100/$E$9)</f>
        <v>0</v>
      </c>
      <c r="G17" s="6"/>
      <c r="H17" s="6">
        <f t="shared" ref="H17:H40" si="7">IF(G17=0,,($G$9-G17)*$G$7*100/$G$9)</f>
        <v>0</v>
      </c>
      <c r="I17" s="6"/>
      <c r="J17" s="7">
        <f t="shared" ref="J17:J24" si="8">IF(I17=0,,($I$9-I17)*$I$7*100/$I$9)</f>
        <v>0</v>
      </c>
      <c r="K17" s="6"/>
      <c r="L17" s="7">
        <f t="shared" ref="L17:L40" si="9">IF(K17=0,,($K$9-K17)*$K$7*100/$K$9)</f>
        <v>0</v>
      </c>
      <c r="M17" s="8">
        <f t="shared" ref="M17:M40" si="10">F17+H17+J17+L17</f>
        <v>0</v>
      </c>
      <c r="N17" s="6">
        <f t="shared" si="3"/>
        <v>7</v>
      </c>
      <c r="O17" s="6">
        <f t="shared" si="4"/>
        <v>0</v>
      </c>
      <c r="P17" s="16">
        <f t="shared" si="5"/>
        <v>0</v>
      </c>
    </row>
    <row r="18" spans="1:16" x14ac:dyDescent="0.3">
      <c r="A18" s="5"/>
      <c r="B18" s="6"/>
      <c r="C18" s="6"/>
      <c r="D18" s="6"/>
      <c r="E18" s="6"/>
      <c r="F18" s="7">
        <f t="shared" si="6"/>
        <v>0</v>
      </c>
      <c r="G18" s="6"/>
      <c r="H18" s="6">
        <f t="shared" si="7"/>
        <v>0</v>
      </c>
      <c r="I18" s="6"/>
      <c r="J18" s="7">
        <f t="shared" si="8"/>
        <v>0</v>
      </c>
      <c r="K18" s="6"/>
      <c r="L18" s="7">
        <f t="shared" si="9"/>
        <v>0</v>
      </c>
      <c r="M18" s="8">
        <f t="shared" si="10"/>
        <v>0</v>
      </c>
      <c r="N18" s="6">
        <f t="shared" si="3"/>
        <v>8</v>
      </c>
      <c r="O18" s="6">
        <f t="shared" si="4"/>
        <v>0</v>
      </c>
      <c r="P18" s="16">
        <f t="shared" si="5"/>
        <v>0</v>
      </c>
    </row>
    <row r="19" spans="1:16" x14ac:dyDescent="0.3">
      <c r="A19" s="5"/>
      <c r="B19" s="6"/>
      <c r="C19" s="6"/>
      <c r="D19" s="6"/>
      <c r="E19" s="6"/>
      <c r="F19" s="7">
        <f t="shared" si="6"/>
        <v>0</v>
      </c>
      <c r="G19" s="6"/>
      <c r="H19" s="6">
        <f t="shared" si="7"/>
        <v>0</v>
      </c>
      <c r="I19" s="6"/>
      <c r="J19" s="7">
        <f t="shared" si="8"/>
        <v>0</v>
      </c>
      <c r="K19" s="6"/>
      <c r="L19" s="7">
        <f t="shared" si="9"/>
        <v>0</v>
      </c>
      <c r="M19" s="8">
        <f t="shared" si="10"/>
        <v>0</v>
      </c>
      <c r="N19" s="6">
        <f t="shared" si="3"/>
        <v>9</v>
      </c>
      <c r="O19" s="6">
        <f t="shared" si="4"/>
        <v>0</v>
      </c>
      <c r="P19" s="16">
        <f t="shared" si="5"/>
        <v>0</v>
      </c>
    </row>
    <row r="20" spans="1:16" x14ac:dyDescent="0.3">
      <c r="A20" s="5"/>
      <c r="B20" s="6"/>
      <c r="C20" s="6"/>
      <c r="D20" s="6"/>
      <c r="E20" s="6"/>
      <c r="F20" s="7">
        <f t="shared" si="6"/>
        <v>0</v>
      </c>
      <c r="G20" s="6"/>
      <c r="H20" s="6">
        <f t="shared" si="7"/>
        <v>0</v>
      </c>
      <c r="I20" s="6"/>
      <c r="J20" s="7">
        <f t="shared" si="8"/>
        <v>0</v>
      </c>
      <c r="K20" s="6"/>
      <c r="L20" s="7">
        <f t="shared" si="9"/>
        <v>0</v>
      </c>
      <c r="M20" s="8">
        <f t="shared" si="10"/>
        <v>0</v>
      </c>
      <c r="N20" s="6">
        <f t="shared" si="3"/>
        <v>10</v>
      </c>
      <c r="O20" s="6">
        <f t="shared" si="4"/>
        <v>0</v>
      </c>
      <c r="P20" s="16">
        <f t="shared" si="5"/>
        <v>0</v>
      </c>
    </row>
    <row r="21" spans="1:16" x14ac:dyDescent="0.3">
      <c r="A21" s="5"/>
      <c r="B21" s="6"/>
      <c r="C21" s="6"/>
      <c r="D21" s="6"/>
      <c r="E21" s="6"/>
      <c r="F21" s="7">
        <f t="shared" si="6"/>
        <v>0</v>
      </c>
      <c r="G21" s="6"/>
      <c r="H21" s="6">
        <f t="shared" si="7"/>
        <v>0</v>
      </c>
      <c r="I21" s="6"/>
      <c r="J21" s="7">
        <f t="shared" si="8"/>
        <v>0</v>
      </c>
      <c r="K21" s="6"/>
      <c r="L21" s="7">
        <f t="shared" si="9"/>
        <v>0</v>
      </c>
      <c r="M21" s="8">
        <f t="shared" si="10"/>
        <v>0</v>
      </c>
      <c r="N21" s="6">
        <f t="shared" si="3"/>
        <v>11</v>
      </c>
      <c r="O21" s="6">
        <f t="shared" si="4"/>
        <v>0</v>
      </c>
      <c r="P21" s="16">
        <f t="shared" si="5"/>
        <v>0</v>
      </c>
    </row>
    <row r="22" spans="1:16" x14ac:dyDescent="0.3">
      <c r="A22" s="5"/>
      <c r="B22" s="6"/>
      <c r="C22" s="6"/>
      <c r="D22" s="6"/>
      <c r="E22" s="6"/>
      <c r="F22" s="7">
        <f t="shared" si="6"/>
        <v>0</v>
      </c>
      <c r="G22" s="6"/>
      <c r="H22" s="6">
        <f t="shared" si="7"/>
        <v>0</v>
      </c>
      <c r="I22" s="6"/>
      <c r="J22" s="7">
        <f t="shared" si="8"/>
        <v>0</v>
      </c>
      <c r="K22" s="6"/>
      <c r="L22" s="7">
        <f t="shared" si="9"/>
        <v>0</v>
      </c>
      <c r="M22" s="8">
        <f t="shared" si="10"/>
        <v>0</v>
      </c>
      <c r="N22" s="6">
        <f t="shared" si="3"/>
        <v>12</v>
      </c>
      <c r="O22" s="6">
        <f t="shared" si="4"/>
        <v>0</v>
      </c>
      <c r="P22" s="16">
        <f t="shared" si="5"/>
        <v>0</v>
      </c>
    </row>
    <row r="23" spans="1:16" x14ac:dyDescent="0.3">
      <c r="A23" s="5"/>
      <c r="B23" s="6"/>
      <c r="C23" s="6"/>
      <c r="D23" s="6"/>
      <c r="E23" s="6"/>
      <c r="F23" s="7">
        <f t="shared" si="6"/>
        <v>0</v>
      </c>
      <c r="G23" s="6"/>
      <c r="H23" s="6">
        <f t="shared" si="7"/>
        <v>0</v>
      </c>
      <c r="I23" s="6"/>
      <c r="J23" s="7">
        <f t="shared" si="8"/>
        <v>0</v>
      </c>
      <c r="K23" s="6"/>
      <c r="L23" s="7">
        <f t="shared" si="9"/>
        <v>0</v>
      </c>
      <c r="M23" s="8">
        <f t="shared" si="10"/>
        <v>0</v>
      </c>
      <c r="N23" s="6">
        <f t="shared" si="3"/>
        <v>13</v>
      </c>
      <c r="O23" s="6">
        <f t="shared" si="4"/>
        <v>0</v>
      </c>
      <c r="P23" s="16">
        <f t="shared" si="5"/>
        <v>0</v>
      </c>
    </row>
    <row r="24" spans="1:16" x14ac:dyDescent="0.3">
      <c r="A24" s="5"/>
      <c r="B24" s="6"/>
      <c r="C24" s="6"/>
      <c r="D24" s="6"/>
      <c r="E24" s="6"/>
      <c r="F24" s="7">
        <f t="shared" si="6"/>
        <v>0</v>
      </c>
      <c r="G24" s="6"/>
      <c r="H24" s="6">
        <f t="shared" si="7"/>
        <v>0</v>
      </c>
      <c r="I24" s="6"/>
      <c r="J24" s="7">
        <f t="shared" si="8"/>
        <v>0</v>
      </c>
      <c r="K24" s="6"/>
      <c r="L24" s="7">
        <f t="shared" si="9"/>
        <v>0</v>
      </c>
      <c r="M24" s="8">
        <f t="shared" si="10"/>
        <v>0</v>
      </c>
      <c r="N24" s="6">
        <f t="shared" si="3"/>
        <v>14</v>
      </c>
      <c r="O24" s="6">
        <f t="shared" si="4"/>
        <v>0</v>
      </c>
      <c r="P24" s="16">
        <f t="shared" si="5"/>
        <v>0</v>
      </c>
    </row>
    <row r="25" spans="1:16" x14ac:dyDescent="0.3">
      <c r="A25" s="5"/>
      <c r="B25" s="6"/>
      <c r="C25" s="6"/>
      <c r="D25" s="6"/>
      <c r="E25" s="6"/>
      <c r="F25" s="7">
        <f t="shared" si="6"/>
        <v>0</v>
      </c>
      <c r="G25" s="6"/>
      <c r="H25" s="6">
        <f t="shared" si="7"/>
        <v>0</v>
      </c>
      <c r="I25" s="6"/>
      <c r="J25" s="7">
        <f t="shared" ref="J25:J40" si="11">IF(I25=0,,($I$9-I25)*$I$7*100/$I$9)</f>
        <v>0</v>
      </c>
      <c r="K25" s="6"/>
      <c r="L25" s="7">
        <f t="shared" si="9"/>
        <v>0</v>
      </c>
      <c r="M25" s="8">
        <f t="shared" si="10"/>
        <v>0</v>
      </c>
      <c r="N25" s="6">
        <f t="shared" si="3"/>
        <v>15</v>
      </c>
      <c r="O25" s="6">
        <f t="shared" si="4"/>
        <v>0</v>
      </c>
      <c r="P25" s="16">
        <f t="shared" si="5"/>
        <v>0</v>
      </c>
    </row>
    <row r="26" spans="1:16" x14ac:dyDescent="0.3">
      <c r="A26" s="5"/>
      <c r="B26" s="6"/>
      <c r="C26" s="6"/>
      <c r="D26" s="6"/>
      <c r="E26" s="6"/>
      <c r="F26" s="7">
        <f t="shared" si="6"/>
        <v>0</v>
      </c>
      <c r="G26" s="6"/>
      <c r="H26" s="6">
        <f t="shared" si="7"/>
        <v>0</v>
      </c>
      <c r="I26" s="6"/>
      <c r="J26" s="7">
        <f t="shared" si="11"/>
        <v>0</v>
      </c>
      <c r="K26" s="6"/>
      <c r="L26" s="7">
        <f t="shared" si="9"/>
        <v>0</v>
      </c>
      <c r="M26" s="8">
        <f t="shared" si="10"/>
        <v>0</v>
      </c>
      <c r="N26" s="6">
        <f t="shared" si="3"/>
        <v>16</v>
      </c>
      <c r="O26" s="6">
        <f t="shared" si="4"/>
        <v>0</v>
      </c>
      <c r="P26" s="16">
        <f t="shared" si="5"/>
        <v>0</v>
      </c>
    </row>
    <row r="27" spans="1:16" x14ac:dyDescent="0.3">
      <c r="A27" s="5"/>
      <c r="B27" s="6"/>
      <c r="C27" s="6"/>
      <c r="D27" s="6"/>
      <c r="E27" s="6"/>
      <c r="F27" s="7">
        <f t="shared" si="6"/>
        <v>0</v>
      </c>
      <c r="G27" s="6"/>
      <c r="H27" s="6">
        <f t="shared" si="7"/>
        <v>0</v>
      </c>
      <c r="I27" s="6"/>
      <c r="J27" s="7">
        <f t="shared" si="11"/>
        <v>0</v>
      </c>
      <c r="K27" s="6"/>
      <c r="L27" s="7">
        <f t="shared" si="9"/>
        <v>0</v>
      </c>
      <c r="M27" s="8">
        <f t="shared" si="10"/>
        <v>0</v>
      </c>
      <c r="N27" s="6">
        <f t="shared" si="3"/>
        <v>17</v>
      </c>
      <c r="O27" s="6">
        <f t="shared" si="4"/>
        <v>0</v>
      </c>
      <c r="P27" s="16">
        <f t="shared" si="5"/>
        <v>0</v>
      </c>
    </row>
    <row r="28" spans="1:16" x14ac:dyDescent="0.3">
      <c r="A28" s="5"/>
      <c r="B28" s="6"/>
      <c r="C28" s="6"/>
      <c r="D28" s="6"/>
      <c r="E28" s="6"/>
      <c r="F28" s="7">
        <f t="shared" si="6"/>
        <v>0</v>
      </c>
      <c r="G28" s="6"/>
      <c r="H28" s="6">
        <f t="shared" si="7"/>
        <v>0</v>
      </c>
      <c r="I28" s="6"/>
      <c r="J28" s="7">
        <f t="shared" si="11"/>
        <v>0</v>
      </c>
      <c r="K28" s="6"/>
      <c r="L28" s="7">
        <f t="shared" si="9"/>
        <v>0</v>
      </c>
      <c r="M28" s="8">
        <f t="shared" si="10"/>
        <v>0</v>
      </c>
      <c r="N28" s="6">
        <f t="shared" si="3"/>
        <v>18</v>
      </c>
      <c r="O28" s="6">
        <f t="shared" si="4"/>
        <v>0</v>
      </c>
      <c r="P28" s="16">
        <f t="shared" si="5"/>
        <v>0</v>
      </c>
    </row>
    <row r="29" spans="1:16" x14ac:dyDescent="0.3">
      <c r="A29" s="5"/>
      <c r="B29" s="6"/>
      <c r="C29" s="6"/>
      <c r="D29" s="6"/>
      <c r="E29" s="6"/>
      <c r="F29" s="7">
        <f t="shared" si="6"/>
        <v>0</v>
      </c>
      <c r="G29" s="6"/>
      <c r="H29" s="6">
        <f t="shared" si="7"/>
        <v>0</v>
      </c>
      <c r="I29" s="6"/>
      <c r="J29" s="7">
        <f t="shared" si="11"/>
        <v>0</v>
      </c>
      <c r="K29" s="6"/>
      <c r="L29" s="7">
        <f t="shared" si="9"/>
        <v>0</v>
      </c>
      <c r="M29" s="8">
        <f t="shared" si="10"/>
        <v>0</v>
      </c>
      <c r="N29" s="6">
        <f t="shared" si="3"/>
        <v>19</v>
      </c>
      <c r="O29" s="6">
        <f t="shared" si="4"/>
        <v>0</v>
      </c>
      <c r="P29" s="16">
        <f t="shared" si="5"/>
        <v>0</v>
      </c>
    </row>
    <row r="30" spans="1:16" x14ac:dyDescent="0.3">
      <c r="A30" s="5"/>
      <c r="B30" s="6"/>
      <c r="C30" s="6"/>
      <c r="D30" s="6"/>
      <c r="E30" s="6"/>
      <c r="F30" s="7">
        <f t="shared" si="6"/>
        <v>0</v>
      </c>
      <c r="G30" s="6"/>
      <c r="H30" s="6">
        <f t="shared" si="7"/>
        <v>0</v>
      </c>
      <c r="I30" s="6"/>
      <c r="J30" s="7">
        <f t="shared" si="11"/>
        <v>0</v>
      </c>
      <c r="K30" s="6"/>
      <c r="L30" s="7">
        <f t="shared" si="9"/>
        <v>0</v>
      </c>
      <c r="M30" s="8">
        <f t="shared" si="10"/>
        <v>0</v>
      </c>
      <c r="N30" s="6">
        <f t="shared" si="3"/>
        <v>20</v>
      </c>
      <c r="O30" s="6">
        <f t="shared" si="4"/>
        <v>0</v>
      </c>
      <c r="P30" s="16">
        <f t="shared" si="5"/>
        <v>0</v>
      </c>
    </row>
    <row r="31" spans="1:16" x14ac:dyDescent="0.3">
      <c r="A31" s="5"/>
      <c r="B31" s="6"/>
      <c r="C31" s="6"/>
      <c r="D31" s="6"/>
      <c r="E31" s="6"/>
      <c r="F31" s="7">
        <f t="shared" si="6"/>
        <v>0</v>
      </c>
      <c r="G31" s="6"/>
      <c r="H31" s="6">
        <f t="shared" si="7"/>
        <v>0</v>
      </c>
      <c r="I31" s="6"/>
      <c r="J31" s="7">
        <f t="shared" si="11"/>
        <v>0</v>
      </c>
      <c r="K31" s="6"/>
      <c r="L31" s="7">
        <f t="shared" si="9"/>
        <v>0</v>
      </c>
      <c r="M31" s="8">
        <f t="shared" si="10"/>
        <v>0</v>
      </c>
      <c r="N31" s="6">
        <f t="shared" si="3"/>
        <v>21</v>
      </c>
      <c r="O31" s="6">
        <f t="shared" si="4"/>
        <v>0</v>
      </c>
      <c r="P31" s="16">
        <f t="shared" si="5"/>
        <v>0</v>
      </c>
    </row>
    <row r="32" spans="1:16" x14ac:dyDescent="0.3">
      <c r="A32" s="5"/>
      <c r="B32" s="6"/>
      <c r="C32" s="6"/>
      <c r="D32" s="6"/>
      <c r="E32" s="6"/>
      <c r="F32" s="7">
        <f t="shared" si="6"/>
        <v>0</v>
      </c>
      <c r="G32" s="6"/>
      <c r="H32" s="6">
        <f t="shared" si="7"/>
        <v>0</v>
      </c>
      <c r="I32" s="6"/>
      <c r="J32" s="7">
        <f t="shared" si="11"/>
        <v>0</v>
      </c>
      <c r="K32" s="6"/>
      <c r="L32" s="7">
        <f t="shared" si="9"/>
        <v>0</v>
      </c>
      <c r="M32" s="8">
        <f t="shared" si="10"/>
        <v>0</v>
      </c>
      <c r="N32" s="6">
        <f t="shared" si="3"/>
        <v>22</v>
      </c>
      <c r="O32" s="6">
        <f t="shared" si="4"/>
        <v>0</v>
      </c>
      <c r="P32" s="16">
        <f t="shared" si="5"/>
        <v>0</v>
      </c>
    </row>
    <row r="33" spans="1:16" x14ac:dyDescent="0.3">
      <c r="A33" s="5"/>
      <c r="B33" s="6"/>
      <c r="C33" s="6"/>
      <c r="D33" s="6"/>
      <c r="E33" s="6"/>
      <c r="F33" s="7">
        <f t="shared" si="6"/>
        <v>0</v>
      </c>
      <c r="G33" s="6"/>
      <c r="H33" s="6">
        <f t="shared" si="7"/>
        <v>0</v>
      </c>
      <c r="I33" s="6"/>
      <c r="J33" s="7">
        <f t="shared" si="11"/>
        <v>0</v>
      </c>
      <c r="K33" s="6"/>
      <c r="L33" s="7">
        <f t="shared" si="9"/>
        <v>0</v>
      </c>
      <c r="M33" s="8">
        <f t="shared" si="10"/>
        <v>0</v>
      </c>
      <c r="N33" s="6">
        <f t="shared" si="3"/>
        <v>23</v>
      </c>
      <c r="O33" s="6">
        <f t="shared" si="4"/>
        <v>0</v>
      </c>
      <c r="P33" s="16">
        <f t="shared" si="5"/>
        <v>0</v>
      </c>
    </row>
    <row r="34" spans="1:16" x14ac:dyDescent="0.3">
      <c r="A34" s="5"/>
      <c r="B34" s="6"/>
      <c r="C34" s="6"/>
      <c r="D34" s="6"/>
      <c r="E34" s="6"/>
      <c r="F34" s="7">
        <f t="shared" si="6"/>
        <v>0</v>
      </c>
      <c r="G34" s="6"/>
      <c r="H34" s="6">
        <f t="shared" si="7"/>
        <v>0</v>
      </c>
      <c r="I34" s="6"/>
      <c r="J34" s="7">
        <f t="shared" si="11"/>
        <v>0</v>
      </c>
      <c r="K34" s="6"/>
      <c r="L34" s="7">
        <f t="shared" si="9"/>
        <v>0</v>
      </c>
      <c r="M34" s="8">
        <f t="shared" si="10"/>
        <v>0</v>
      </c>
      <c r="N34" s="6">
        <f t="shared" si="3"/>
        <v>24</v>
      </c>
      <c r="O34" s="6">
        <f t="shared" si="4"/>
        <v>0</v>
      </c>
      <c r="P34" s="16">
        <f t="shared" si="5"/>
        <v>0</v>
      </c>
    </row>
    <row r="35" spans="1:16" x14ac:dyDescent="0.3">
      <c r="A35" s="5"/>
      <c r="B35" s="6"/>
      <c r="C35" s="6"/>
      <c r="D35" s="6"/>
      <c r="E35" s="6"/>
      <c r="F35" s="7">
        <f t="shared" si="6"/>
        <v>0</v>
      </c>
      <c r="G35" s="6"/>
      <c r="H35" s="6">
        <f t="shared" si="7"/>
        <v>0</v>
      </c>
      <c r="I35" s="6"/>
      <c r="J35" s="7">
        <f t="shared" si="11"/>
        <v>0</v>
      </c>
      <c r="K35" s="6"/>
      <c r="L35" s="7">
        <f t="shared" si="9"/>
        <v>0</v>
      </c>
      <c r="M35" s="8">
        <f t="shared" si="10"/>
        <v>0</v>
      </c>
      <c r="N35" s="6">
        <f t="shared" si="3"/>
        <v>25</v>
      </c>
      <c r="O35" s="6">
        <f t="shared" si="4"/>
        <v>0</v>
      </c>
      <c r="P35" s="16">
        <f t="shared" si="5"/>
        <v>0</v>
      </c>
    </row>
    <row r="36" spans="1:16" x14ac:dyDescent="0.3">
      <c r="A36" s="5"/>
      <c r="B36" s="6"/>
      <c r="C36" s="6"/>
      <c r="D36" s="6"/>
      <c r="E36" s="6"/>
      <c r="F36" s="7">
        <f t="shared" si="6"/>
        <v>0</v>
      </c>
      <c r="G36" s="6"/>
      <c r="H36" s="6">
        <f t="shared" si="7"/>
        <v>0</v>
      </c>
      <c r="I36" s="6"/>
      <c r="J36" s="7">
        <f t="shared" si="11"/>
        <v>0</v>
      </c>
      <c r="K36" s="6"/>
      <c r="L36" s="7">
        <f t="shared" si="9"/>
        <v>0</v>
      </c>
      <c r="M36" s="8">
        <f t="shared" si="10"/>
        <v>0</v>
      </c>
      <c r="N36" s="6">
        <f t="shared" si="3"/>
        <v>26</v>
      </c>
      <c r="O36" s="6">
        <f t="shared" si="4"/>
        <v>0</v>
      </c>
      <c r="P36" s="16">
        <f t="shared" si="5"/>
        <v>0</v>
      </c>
    </row>
    <row r="37" spans="1:16" x14ac:dyDescent="0.3">
      <c r="A37" s="5"/>
      <c r="B37" s="6"/>
      <c r="C37" s="6"/>
      <c r="D37" s="6"/>
      <c r="E37" s="6"/>
      <c r="F37" s="7">
        <f t="shared" si="6"/>
        <v>0</v>
      </c>
      <c r="G37" s="6"/>
      <c r="H37" s="6">
        <f t="shared" si="7"/>
        <v>0</v>
      </c>
      <c r="I37" s="6"/>
      <c r="J37" s="7">
        <f t="shared" si="11"/>
        <v>0</v>
      </c>
      <c r="K37" s="6"/>
      <c r="L37" s="7">
        <f t="shared" si="9"/>
        <v>0</v>
      </c>
      <c r="M37" s="8">
        <f t="shared" si="10"/>
        <v>0</v>
      </c>
      <c r="N37" s="6">
        <f t="shared" si="3"/>
        <v>27</v>
      </c>
      <c r="O37" s="6">
        <f t="shared" si="4"/>
        <v>0</v>
      </c>
      <c r="P37" s="16">
        <f t="shared" si="5"/>
        <v>0</v>
      </c>
    </row>
    <row r="38" spans="1:16" x14ac:dyDescent="0.3">
      <c r="A38" s="5"/>
      <c r="B38" s="6"/>
      <c r="C38" s="6"/>
      <c r="D38" s="6"/>
      <c r="E38" s="6"/>
      <c r="F38" s="7">
        <f t="shared" si="6"/>
        <v>0</v>
      </c>
      <c r="G38" s="6"/>
      <c r="H38" s="6">
        <f t="shared" si="7"/>
        <v>0</v>
      </c>
      <c r="I38" s="6"/>
      <c r="J38" s="7">
        <f t="shared" si="11"/>
        <v>0</v>
      </c>
      <c r="K38" s="6"/>
      <c r="L38" s="7">
        <f t="shared" si="9"/>
        <v>0</v>
      </c>
      <c r="M38" s="8">
        <f t="shared" si="10"/>
        <v>0</v>
      </c>
      <c r="N38" s="6">
        <f t="shared" si="3"/>
        <v>28</v>
      </c>
      <c r="O38" s="6">
        <f t="shared" si="4"/>
        <v>0</v>
      </c>
      <c r="P38" s="16">
        <f t="shared" si="5"/>
        <v>0</v>
      </c>
    </row>
    <row r="39" spans="1:16" x14ac:dyDescent="0.3">
      <c r="A39" s="5"/>
      <c r="B39" s="6"/>
      <c r="C39" s="6"/>
      <c r="D39" s="6"/>
      <c r="E39" s="6"/>
      <c r="F39" s="7">
        <f t="shared" si="6"/>
        <v>0</v>
      </c>
      <c r="G39" s="6"/>
      <c r="H39" s="6">
        <f t="shared" si="7"/>
        <v>0</v>
      </c>
      <c r="I39" s="6"/>
      <c r="J39" s="7">
        <f t="shared" si="11"/>
        <v>0</v>
      </c>
      <c r="K39" s="6"/>
      <c r="L39" s="7">
        <f t="shared" si="9"/>
        <v>0</v>
      </c>
      <c r="M39" s="8">
        <f t="shared" si="10"/>
        <v>0</v>
      </c>
      <c r="N39" s="6">
        <f t="shared" si="3"/>
        <v>29</v>
      </c>
      <c r="O39" s="6">
        <f t="shared" si="4"/>
        <v>0</v>
      </c>
      <c r="P39" s="16">
        <f t="shared" si="5"/>
        <v>0</v>
      </c>
    </row>
    <row r="40" spans="1:16" x14ac:dyDescent="0.3">
      <c r="A40" s="5"/>
      <c r="B40" s="6"/>
      <c r="C40" s="6"/>
      <c r="D40" s="6"/>
      <c r="E40" s="6"/>
      <c r="F40" s="7">
        <f t="shared" si="6"/>
        <v>0</v>
      </c>
      <c r="G40" s="6"/>
      <c r="H40" s="6">
        <f t="shared" si="7"/>
        <v>0</v>
      </c>
      <c r="I40" s="6"/>
      <c r="J40" s="7">
        <f t="shared" si="11"/>
        <v>0</v>
      </c>
      <c r="K40" s="6"/>
      <c r="L40" s="7">
        <f t="shared" si="9"/>
        <v>0</v>
      </c>
      <c r="M40" s="8">
        <f t="shared" si="10"/>
        <v>0</v>
      </c>
      <c r="N40" s="6">
        <f t="shared" si="3"/>
        <v>30</v>
      </c>
      <c r="O40" s="6">
        <f t="shared" si="4"/>
        <v>0</v>
      </c>
      <c r="P40" s="16">
        <f t="shared" si="5"/>
        <v>0</v>
      </c>
    </row>
    <row r="41" spans="1:16" x14ac:dyDescent="0.3">
      <c r="A41" s="45" t="s">
        <v>11</v>
      </c>
      <c r="B41" s="45"/>
      <c r="C41" s="46"/>
      <c r="E41">
        <f>COUNTA(E11:E40)</f>
        <v>0</v>
      </c>
      <c r="G41">
        <f>COUNTA(G11:G40)</f>
        <v>1</v>
      </c>
      <c r="I41">
        <f>COUNTA(I11:I40)</f>
        <v>5</v>
      </c>
      <c r="K41">
        <f>COUNTA(K11:K40)</f>
        <v>0</v>
      </c>
    </row>
    <row r="42" spans="1:16" x14ac:dyDescent="0.3">
      <c r="A42" s="55" t="s">
        <v>21</v>
      </c>
      <c r="B42" s="55"/>
      <c r="C42" s="55"/>
      <c r="E42" s="15">
        <f>E41/$G$2</f>
        <v>0</v>
      </c>
      <c r="G42" s="15">
        <f>G41/$G$2</f>
        <v>0.16666666666666666</v>
      </c>
      <c r="I42" s="15">
        <f>I41/$G$2</f>
        <v>0.83333333333333337</v>
      </c>
      <c r="K42" s="15">
        <f>K41/$G$2</f>
        <v>0</v>
      </c>
    </row>
    <row r="59" spans="11:11" x14ac:dyDescent="0.3">
      <c r="K59" t="s">
        <v>24</v>
      </c>
    </row>
    <row r="60" spans="11:11" x14ac:dyDescent="0.3">
      <c r="K60" t="s">
        <v>25</v>
      </c>
    </row>
    <row r="61" spans="11:11" x14ac:dyDescent="0.3">
      <c r="K61" t="s">
        <v>26</v>
      </c>
    </row>
    <row r="62" spans="11:11" x14ac:dyDescent="0.3">
      <c r="K62" t="s">
        <v>27</v>
      </c>
    </row>
  </sheetData>
  <sortState xmlns:xlrd2="http://schemas.microsoft.com/office/spreadsheetml/2017/richdata2" ref="B11:M16">
    <sortCondition descending="1" ref="M11:M16"/>
  </sortState>
  <mergeCells count="21">
    <mergeCell ref="A1:M1"/>
    <mergeCell ref="E6:F6"/>
    <mergeCell ref="G6:H6"/>
    <mergeCell ref="I6:J6"/>
    <mergeCell ref="K6:L6"/>
    <mergeCell ref="K9:L9"/>
    <mergeCell ref="A41:C41"/>
    <mergeCell ref="E2:F2"/>
    <mergeCell ref="E3:F3"/>
    <mergeCell ref="A42:C42"/>
    <mergeCell ref="E9:F9"/>
    <mergeCell ref="G9:H9"/>
    <mergeCell ref="I9:J9"/>
    <mergeCell ref="K7:L7"/>
    <mergeCell ref="E8:F8"/>
    <mergeCell ref="G8:H8"/>
    <mergeCell ref="I8:J8"/>
    <mergeCell ref="K8:L8"/>
    <mergeCell ref="E7:F7"/>
    <mergeCell ref="G7:H7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H20" sqref="H20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77734375" bestFit="1" customWidth="1"/>
    <col min="5" max="5" width="11.44140625" customWidth="1"/>
    <col min="6" max="6" width="17.6640625" customWidth="1"/>
    <col min="7" max="12" width="11.4414062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.2" x14ac:dyDescent="0.6">
      <c r="A1" s="47" t="s">
        <v>120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6" x14ac:dyDescent="0.3">
      <c r="E2" s="54" t="s">
        <v>17</v>
      </c>
      <c r="F2" s="54"/>
      <c r="G2" s="14">
        <f>COUNTA(B11:B23)</f>
        <v>2</v>
      </c>
    </row>
    <row r="3" spans="1:16" x14ac:dyDescent="0.3">
      <c r="B3" s="2"/>
      <c r="E3" s="54" t="s">
        <v>19</v>
      </c>
      <c r="F3" s="54"/>
      <c r="G3" s="14">
        <f>COUNTA(E8:L8)</f>
        <v>4</v>
      </c>
    </row>
    <row r="4" spans="1:16" x14ac:dyDescent="0.3">
      <c r="B4" s="2"/>
      <c r="C4" s="3"/>
    </row>
    <row r="6" spans="1:16" x14ac:dyDescent="0.3">
      <c r="D6" s="1" t="s">
        <v>0</v>
      </c>
      <c r="E6" s="41" t="s">
        <v>30</v>
      </c>
      <c r="F6" s="41"/>
      <c r="G6" s="42" t="s">
        <v>858</v>
      </c>
      <c r="H6" s="43"/>
      <c r="I6" s="41" t="s">
        <v>118</v>
      </c>
      <c r="J6" s="41"/>
      <c r="K6" s="41" t="s">
        <v>116</v>
      </c>
      <c r="L6" s="41"/>
    </row>
    <row r="7" spans="1:16" x14ac:dyDescent="0.3">
      <c r="D7" s="1" t="s">
        <v>10</v>
      </c>
      <c r="E7" s="42">
        <v>2</v>
      </c>
      <c r="F7" s="43"/>
      <c r="G7" s="42">
        <v>2</v>
      </c>
      <c r="H7" s="43"/>
      <c r="I7" s="42">
        <v>2</v>
      </c>
      <c r="J7" s="43"/>
      <c r="K7" s="42">
        <v>2</v>
      </c>
      <c r="L7" s="43"/>
    </row>
    <row r="8" spans="1:16" x14ac:dyDescent="0.3">
      <c r="D8" s="1" t="s">
        <v>1</v>
      </c>
      <c r="E8" s="58">
        <v>45241</v>
      </c>
      <c r="F8" s="59"/>
      <c r="G8" s="58">
        <v>45256</v>
      </c>
      <c r="H8" s="59"/>
      <c r="I8" s="44">
        <v>45339</v>
      </c>
      <c r="J8" s="44"/>
      <c r="K8" s="44">
        <v>45410</v>
      </c>
      <c r="L8" s="44"/>
    </row>
    <row r="9" spans="1:16" x14ac:dyDescent="0.3">
      <c r="D9" s="1" t="s">
        <v>2</v>
      </c>
      <c r="E9" s="41">
        <v>0</v>
      </c>
      <c r="F9" s="41"/>
      <c r="G9" s="42">
        <v>2</v>
      </c>
      <c r="H9" s="43"/>
      <c r="I9" s="41">
        <v>0</v>
      </c>
      <c r="J9" s="41"/>
      <c r="K9" s="41">
        <v>0</v>
      </c>
      <c r="L9" s="41"/>
    </row>
    <row r="10" spans="1:1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20</v>
      </c>
      <c r="P10" s="1" t="s">
        <v>22</v>
      </c>
    </row>
    <row r="11" spans="1:16" x14ac:dyDescent="0.3">
      <c r="A11" s="5">
        <f t="shared" ref="A11:A23" si="0">N11</f>
        <v>1</v>
      </c>
      <c r="B11" s="6" t="s">
        <v>500</v>
      </c>
      <c r="C11" s="6" t="s">
        <v>501</v>
      </c>
      <c r="D11" s="6" t="s">
        <v>491</v>
      </c>
      <c r="E11" s="6"/>
      <c r="F11" s="7">
        <f t="shared" ref="F11:F16" si="1">IF(E11=0,,($E$9-E11)*$E$7*100/$E$9)</f>
        <v>0</v>
      </c>
      <c r="G11" s="6">
        <v>1</v>
      </c>
      <c r="H11" s="6">
        <f>20</f>
        <v>20</v>
      </c>
      <c r="I11" s="6"/>
      <c r="J11" s="7">
        <f>IF(I11=0,,($I$9-I11)*$I$7*100/$I$9)</f>
        <v>0</v>
      </c>
      <c r="K11" s="6"/>
      <c r="L11" s="7">
        <f t="shared" ref="L11:L16" si="2">IF(K11=0,,($K$9-K11)*$K$7*100/$K$9)</f>
        <v>0</v>
      </c>
      <c r="M11" s="8">
        <f>F11+H11+J11+L11</f>
        <v>20</v>
      </c>
      <c r="N11" s="6">
        <f t="shared" ref="N11:N23" si="3">ROW(B11)-10</f>
        <v>1</v>
      </c>
      <c r="O11" s="6">
        <f t="shared" ref="O11:O23" si="4">COUNTA(E11,G11,I11,K11)</f>
        <v>1</v>
      </c>
      <c r="P11" s="16">
        <f t="shared" ref="P11:P23" si="5">O11/$G$3</f>
        <v>0.25</v>
      </c>
    </row>
    <row r="12" spans="1:16" x14ac:dyDescent="0.3">
      <c r="A12" s="5">
        <f t="shared" si="0"/>
        <v>2</v>
      </c>
      <c r="B12" s="6" t="s">
        <v>502</v>
      </c>
      <c r="C12" s="6" t="s">
        <v>503</v>
      </c>
      <c r="D12" s="6"/>
      <c r="E12" s="6"/>
      <c r="F12" s="7">
        <f t="shared" si="1"/>
        <v>0</v>
      </c>
      <c r="G12" s="6">
        <v>2</v>
      </c>
      <c r="H12" s="6">
        <f>20/2</f>
        <v>10</v>
      </c>
      <c r="I12" s="6"/>
      <c r="J12" s="6">
        <f>IF(I12=0,,($I$9-I12)*$I$7*100/$I$9)</f>
        <v>0</v>
      </c>
      <c r="K12" s="6"/>
      <c r="L12" s="7">
        <f t="shared" si="2"/>
        <v>0</v>
      </c>
      <c r="M12" s="8">
        <f t="shared" ref="M12:M23" si="6">F12+H12+J12+L12</f>
        <v>10</v>
      </c>
      <c r="N12" s="6">
        <f t="shared" si="3"/>
        <v>2</v>
      </c>
      <c r="O12" s="6">
        <f t="shared" si="4"/>
        <v>1</v>
      </c>
      <c r="P12" s="16">
        <f t="shared" si="5"/>
        <v>0.25</v>
      </c>
    </row>
    <row r="13" spans="1:16" x14ac:dyDescent="0.3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6">
        <f>H12/2</f>
        <v>5</v>
      </c>
      <c r="I13" s="6"/>
      <c r="J13" s="6">
        <f>IF(I13=0,,($I$9-I13)*$I$7*100/$I$9)</f>
        <v>0</v>
      </c>
      <c r="K13" s="6"/>
      <c r="L13" s="7">
        <f t="shared" si="2"/>
        <v>0</v>
      </c>
      <c r="M13" s="8">
        <f t="shared" si="6"/>
        <v>5</v>
      </c>
      <c r="N13" s="6">
        <f t="shared" si="3"/>
        <v>3</v>
      </c>
      <c r="O13" s="6">
        <f t="shared" si="4"/>
        <v>0</v>
      </c>
      <c r="P13" s="16">
        <f t="shared" si="5"/>
        <v>0</v>
      </c>
    </row>
    <row r="14" spans="1:16" x14ac:dyDescent="0.3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6">
        <f t="shared" ref="H14:H23" si="7">IF(G14=0,,($G$9-G14)*$G$7*100/$G$9)</f>
        <v>0</v>
      </c>
      <c r="I14" s="6"/>
      <c r="J14" s="7">
        <f t="shared" ref="J14:J23" si="8">IF(I14=0,,($I$9-I14)*$I$7*100/$I$9)</f>
        <v>0</v>
      </c>
      <c r="K14" s="6"/>
      <c r="L14" s="7">
        <f t="shared" si="2"/>
        <v>0</v>
      </c>
      <c r="M14" s="8">
        <f t="shared" si="6"/>
        <v>0</v>
      </c>
      <c r="N14" s="6">
        <f t="shared" si="3"/>
        <v>4</v>
      </c>
      <c r="O14" s="6">
        <f t="shared" si="4"/>
        <v>0</v>
      </c>
      <c r="P14" s="16">
        <f t="shared" si="5"/>
        <v>0</v>
      </c>
    </row>
    <row r="15" spans="1:16" x14ac:dyDescent="0.3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6">
        <f t="shared" si="7"/>
        <v>0</v>
      </c>
      <c r="I15" s="6"/>
      <c r="J15" s="6">
        <f t="shared" si="8"/>
        <v>0</v>
      </c>
      <c r="K15" s="6"/>
      <c r="L15" s="7">
        <f t="shared" si="2"/>
        <v>0</v>
      </c>
      <c r="M15" s="8">
        <f t="shared" si="6"/>
        <v>0</v>
      </c>
      <c r="N15" s="6">
        <f t="shared" si="3"/>
        <v>5</v>
      </c>
      <c r="O15" s="6">
        <f t="shared" si="4"/>
        <v>0</v>
      </c>
      <c r="P15" s="16">
        <f t="shared" si="5"/>
        <v>0</v>
      </c>
    </row>
    <row r="16" spans="1:16" x14ac:dyDescent="0.3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2"/>
        <v>0</v>
      </c>
      <c r="M16" s="8">
        <f t="shared" si="6"/>
        <v>0</v>
      </c>
      <c r="N16" s="6">
        <f t="shared" si="3"/>
        <v>6</v>
      </c>
      <c r="O16" s="6">
        <f t="shared" si="4"/>
        <v>0</v>
      </c>
      <c r="P16" s="16">
        <f t="shared" si="5"/>
        <v>0</v>
      </c>
    </row>
    <row r="17" spans="1:16" x14ac:dyDescent="0.3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6"/>
        <v>9</v>
      </c>
      <c r="N17" s="6">
        <f t="shared" si="3"/>
        <v>7</v>
      </c>
      <c r="O17" s="6">
        <f t="shared" si="4"/>
        <v>0</v>
      </c>
      <c r="P17" s="16">
        <f t="shared" si="5"/>
        <v>0</v>
      </c>
    </row>
    <row r="18" spans="1:16" x14ac:dyDescent="0.3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6"/>
        <v>0</v>
      </c>
      <c r="N18" s="6">
        <f t="shared" si="3"/>
        <v>8</v>
      </c>
      <c r="O18" s="6">
        <f t="shared" si="4"/>
        <v>0</v>
      </c>
      <c r="P18" s="16">
        <f t="shared" si="5"/>
        <v>0</v>
      </c>
    </row>
    <row r="19" spans="1:16" x14ac:dyDescent="0.3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6"/>
        <v>0</v>
      </c>
      <c r="N19" s="6">
        <f t="shared" si="3"/>
        <v>9</v>
      </c>
      <c r="O19" s="6">
        <f t="shared" si="4"/>
        <v>0</v>
      </c>
      <c r="P19" s="16">
        <f t="shared" si="5"/>
        <v>0</v>
      </c>
    </row>
    <row r="20" spans="1:16" x14ac:dyDescent="0.3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6"/>
        <v>0</v>
      </c>
      <c r="N20" s="6">
        <f t="shared" si="3"/>
        <v>10</v>
      </c>
      <c r="O20" s="6">
        <f t="shared" si="4"/>
        <v>0</v>
      </c>
      <c r="P20" s="16">
        <f t="shared" si="5"/>
        <v>0</v>
      </c>
    </row>
    <row r="21" spans="1:16" x14ac:dyDescent="0.3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6"/>
        <v>0</v>
      </c>
      <c r="N21" s="6">
        <f t="shared" si="3"/>
        <v>11</v>
      </c>
      <c r="O21" s="6">
        <f t="shared" si="4"/>
        <v>0</v>
      </c>
      <c r="P21" s="16">
        <f t="shared" si="5"/>
        <v>0</v>
      </c>
    </row>
    <row r="22" spans="1:16" x14ac:dyDescent="0.3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6"/>
        <v>0</v>
      </c>
      <c r="N22" s="6">
        <f t="shared" si="3"/>
        <v>12</v>
      </c>
      <c r="O22" s="6">
        <f t="shared" si="4"/>
        <v>0</v>
      </c>
      <c r="P22" s="16">
        <f t="shared" si="5"/>
        <v>0</v>
      </c>
    </row>
    <row r="23" spans="1:16" x14ac:dyDescent="0.3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6"/>
        <v>0</v>
      </c>
      <c r="N23" s="6">
        <f t="shared" si="3"/>
        <v>13</v>
      </c>
      <c r="O23" s="6">
        <f t="shared" si="4"/>
        <v>0</v>
      </c>
      <c r="P23" s="16">
        <f t="shared" si="5"/>
        <v>0</v>
      </c>
    </row>
    <row r="24" spans="1:16" x14ac:dyDescent="0.3">
      <c r="A24" s="45" t="s">
        <v>11</v>
      </c>
      <c r="B24" s="45"/>
      <c r="C24" s="46"/>
      <c r="E24">
        <f>COUNTA(E11:E23)</f>
        <v>0</v>
      </c>
      <c r="G24">
        <f>COUNTA(G11:G23)</f>
        <v>2</v>
      </c>
      <c r="I24">
        <f>COUNTA(I11:I23)</f>
        <v>0</v>
      </c>
      <c r="K24">
        <f>COUNTA(K11:K23)</f>
        <v>0</v>
      </c>
    </row>
    <row r="25" spans="1:16" x14ac:dyDescent="0.3">
      <c r="A25" s="55" t="s">
        <v>21</v>
      </c>
      <c r="B25" s="55"/>
      <c r="C25" s="55"/>
      <c r="E25">
        <f>E24/G2*100</f>
        <v>0</v>
      </c>
      <c r="G25">
        <f>G24/G2*100</f>
        <v>100</v>
      </c>
      <c r="I25" s="15">
        <f>I24/G2</f>
        <v>0</v>
      </c>
      <c r="K25">
        <f>K24/G2*100</f>
        <v>0</v>
      </c>
    </row>
  </sheetData>
  <sortState xmlns:xlrd2="http://schemas.microsoft.com/office/spreadsheetml/2017/richdata2" ref="A11:P23">
    <sortCondition descending="1" ref="M11:M23"/>
  </sortState>
  <mergeCells count="21">
    <mergeCell ref="G7:H7"/>
    <mergeCell ref="I7:J7"/>
    <mergeCell ref="K7:L7"/>
    <mergeCell ref="A1:M1"/>
    <mergeCell ref="E6:F6"/>
    <mergeCell ref="G6:H6"/>
    <mergeCell ref="I6:J6"/>
    <mergeCell ref="K6:L6"/>
    <mergeCell ref="G8:H8"/>
    <mergeCell ref="I8:J8"/>
    <mergeCell ref="K8:L8"/>
    <mergeCell ref="E9:F9"/>
    <mergeCell ref="G9:H9"/>
    <mergeCell ref="I9:J9"/>
    <mergeCell ref="K9:L9"/>
    <mergeCell ref="A24:C24"/>
    <mergeCell ref="E2:F2"/>
    <mergeCell ref="E3:F3"/>
    <mergeCell ref="A25:C25"/>
    <mergeCell ref="E8:F8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4"/>
  <sheetViews>
    <sheetView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L3" sqref="L3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20" max="20" width="12.44140625" customWidth="1"/>
  </cols>
  <sheetData>
    <row r="1" spans="1:24" ht="31.2" x14ac:dyDescent="0.6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3" spans="1:24" x14ac:dyDescent="0.3">
      <c r="B3" s="2"/>
    </row>
    <row r="4" spans="1:24" x14ac:dyDescent="0.3">
      <c r="B4" s="2"/>
      <c r="C4" s="3"/>
    </row>
    <row r="6" spans="1:24" x14ac:dyDescent="0.3">
      <c r="D6" s="1" t="s">
        <v>0</v>
      </c>
      <c r="E6" s="41" t="s">
        <v>47</v>
      </c>
      <c r="F6" s="41"/>
      <c r="G6" s="41" t="s">
        <v>363</v>
      </c>
      <c r="H6" s="41"/>
      <c r="I6" s="41" t="s">
        <v>49</v>
      </c>
      <c r="J6" s="41"/>
      <c r="K6" s="41" t="s">
        <v>51</v>
      </c>
      <c r="L6" s="41"/>
      <c r="M6" s="41" t="s">
        <v>53</v>
      </c>
      <c r="N6" s="41"/>
      <c r="O6" s="41" t="s">
        <v>54</v>
      </c>
      <c r="P6" s="41"/>
      <c r="Q6" s="41" t="s">
        <v>55</v>
      </c>
      <c r="R6" s="41"/>
      <c r="S6" s="41" t="s">
        <v>56</v>
      </c>
      <c r="T6" s="41"/>
      <c r="U6" s="41" t="s">
        <v>58</v>
      </c>
      <c r="V6" s="41"/>
    </row>
    <row r="7" spans="1:24" x14ac:dyDescent="0.3">
      <c r="D7" s="1" t="s">
        <v>10</v>
      </c>
      <c r="E7" s="42">
        <v>3</v>
      </c>
      <c r="F7" s="43"/>
      <c r="G7" s="42">
        <v>2</v>
      </c>
      <c r="H7" s="43"/>
      <c r="I7" s="42">
        <v>3</v>
      </c>
      <c r="J7" s="43"/>
      <c r="K7" s="42">
        <v>3</v>
      </c>
      <c r="L7" s="43"/>
      <c r="M7" s="42">
        <v>3</v>
      </c>
      <c r="N7" s="43"/>
      <c r="O7" s="42">
        <v>3</v>
      </c>
      <c r="P7" s="43"/>
      <c r="Q7" s="42">
        <v>3</v>
      </c>
      <c r="R7" s="43"/>
      <c r="S7" s="42">
        <v>3</v>
      </c>
      <c r="T7" s="43"/>
      <c r="U7" s="42">
        <v>6</v>
      </c>
      <c r="V7" s="43"/>
    </row>
    <row r="8" spans="1:24" x14ac:dyDescent="0.3">
      <c r="D8" s="1" t="s">
        <v>1</v>
      </c>
      <c r="E8" s="44" t="s">
        <v>34</v>
      </c>
      <c r="F8" s="44"/>
      <c r="G8" s="44">
        <v>45226</v>
      </c>
      <c r="H8" s="44"/>
      <c r="I8" s="44" t="s">
        <v>50</v>
      </c>
      <c r="J8" s="44"/>
      <c r="K8" s="44" t="s">
        <v>52</v>
      </c>
      <c r="L8" s="44"/>
      <c r="M8" s="44" t="s">
        <v>44</v>
      </c>
      <c r="N8" s="44"/>
      <c r="O8" s="44" t="s">
        <v>46</v>
      </c>
      <c r="P8" s="44"/>
      <c r="Q8" s="44" t="s">
        <v>31</v>
      </c>
      <c r="R8" s="44"/>
      <c r="S8" s="44" t="s">
        <v>57</v>
      </c>
      <c r="T8" s="44"/>
      <c r="U8" s="44" t="s">
        <v>33</v>
      </c>
      <c r="V8" s="44"/>
    </row>
    <row r="9" spans="1:24" x14ac:dyDescent="0.3">
      <c r="D9" s="1" t="s">
        <v>2</v>
      </c>
      <c r="E9" s="41">
        <v>39</v>
      </c>
      <c r="F9" s="41"/>
      <c r="G9" s="41">
        <v>7</v>
      </c>
      <c r="H9" s="41"/>
      <c r="I9" s="41">
        <v>70</v>
      </c>
      <c r="J9" s="41"/>
      <c r="K9" s="41"/>
      <c r="L9" s="41"/>
      <c r="M9" s="41">
        <v>64</v>
      </c>
      <c r="N9" s="41"/>
      <c r="O9" s="41">
        <v>73</v>
      </c>
      <c r="P9" s="41"/>
      <c r="Q9" s="41">
        <v>8</v>
      </c>
      <c r="R9" s="41"/>
      <c r="S9" s="41">
        <v>64</v>
      </c>
      <c r="T9" s="41"/>
      <c r="U9" s="41">
        <v>39</v>
      </c>
      <c r="V9" s="41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</row>
    <row r="11" spans="1:24" x14ac:dyDescent="0.3">
      <c r="A11" s="19">
        <v>1</v>
      </c>
      <c r="B11" s="13" t="s">
        <v>338</v>
      </c>
      <c r="C11" s="13" t="s">
        <v>339</v>
      </c>
      <c r="D11" s="13" t="s">
        <v>131</v>
      </c>
      <c r="E11" s="23">
        <v>14</v>
      </c>
      <c r="F11" s="23">
        <f>IF(E11=0,,($E$9-E11)*$E$7*100/$E$9)</f>
        <v>192.30769230769232</v>
      </c>
      <c r="G11" s="23"/>
      <c r="H11" s="23">
        <f t="shared" ref="H11:H22" si="0">IF(G11=0,,($G$9-G11)*$G$7*100/$G$9)</f>
        <v>0</v>
      </c>
      <c r="I11" s="23">
        <v>8</v>
      </c>
      <c r="J11" s="23">
        <f t="shared" ref="J11:J23" si="1">IF(I11=0,,($I$9-I11)*$I$7*100/$I$9)</f>
        <v>265.71428571428572</v>
      </c>
      <c r="K11" s="23"/>
      <c r="L11" s="23">
        <f t="shared" ref="L11:L23" si="2">IF(K11=0,,($K$9-K11)*$K$7*100/$K$9)</f>
        <v>0</v>
      </c>
      <c r="M11" s="23">
        <v>12</v>
      </c>
      <c r="N11" s="23">
        <f t="shared" ref="N11:N23" si="3">IF(M11=0,,($M$9-M11)*$M$7*100/$M$9)</f>
        <v>243.75</v>
      </c>
      <c r="O11" s="23">
        <v>23</v>
      </c>
      <c r="P11" s="23">
        <f t="shared" ref="P11:P23" si="4">IF(O11=0,,($O$9-O11)*$O$7*100/$O$9)</f>
        <v>205.47945205479451</v>
      </c>
      <c r="Q11" s="23">
        <v>1</v>
      </c>
      <c r="R11" s="23">
        <f>IF(Q11=0,,($Q$9-Q11)*$Q$7*100/$Q$9)</f>
        <v>262.5</v>
      </c>
      <c r="S11" s="23"/>
      <c r="T11" s="23">
        <f t="shared" ref="T11:T23" si="5">IF(S11=0,,($S$9-S11)*$S$7*100/$S$9)</f>
        <v>0</v>
      </c>
      <c r="U11" s="23">
        <v>6</v>
      </c>
      <c r="V11" s="23">
        <f t="shared" ref="V11:V23" si="6">IF(U11=0,,($U$9-U11)*$U$7*100/$U$9)</f>
        <v>507.69230769230768</v>
      </c>
      <c r="W11" s="25">
        <f t="shared" ref="W11:W23" si="7">SUM(F11+H11+J11+L11+N11+P11+R11+T11+V11)</f>
        <v>1677.4437377690801</v>
      </c>
      <c r="X11" s="23">
        <f t="shared" ref="X11:X24" si="8">ROW(B11)-10</f>
        <v>1</v>
      </c>
    </row>
    <row r="12" spans="1:24" x14ac:dyDescent="0.3">
      <c r="A12" s="19">
        <v>2</v>
      </c>
      <c r="B12" s="13" t="s">
        <v>544</v>
      </c>
      <c r="C12" s="13" t="s">
        <v>545</v>
      </c>
      <c r="D12" s="13" t="s">
        <v>131</v>
      </c>
      <c r="E12" s="23"/>
      <c r="F12" s="23">
        <f>IF(E12=0,,($I$9-E12)*$I$7*100/$I$9)</f>
        <v>0</v>
      </c>
      <c r="G12" s="23"/>
      <c r="H12" s="23">
        <f t="shared" si="0"/>
        <v>0</v>
      </c>
      <c r="I12" s="23">
        <v>8</v>
      </c>
      <c r="J12" s="23">
        <f t="shared" si="1"/>
        <v>265.71428571428572</v>
      </c>
      <c r="K12" s="23"/>
      <c r="L12" s="23">
        <f t="shared" si="2"/>
        <v>0</v>
      </c>
      <c r="M12" s="23">
        <v>8</v>
      </c>
      <c r="N12" s="23">
        <f t="shared" si="3"/>
        <v>262.5</v>
      </c>
      <c r="O12" s="23">
        <v>15</v>
      </c>
      <c r="P12" s="23">
        <f t="shared" si="4"/>
        <v>238.35616438356163</v>
      </c>
      <c r="Q12" s="23">
        <v>3</v>
      </c>
      <c r="R12" s="23">
        <f>IF(Q12=0,,($Q$9-Q12)*$Q$7*100/$Q$9)</f>
        <v>187.5</v>
      </c>
      <c r="S12" s="23"/>
      <c r="T12" s="23">
        <f t="shared" si="5"/>
        <v>0</v>
      </c>
      <c r="U12" s="23">
        <v>12</v>
      </c>
      <c r="V12" s="23">
        <f t="shared" si="6"/>
        <v>415.38461538461536</v>
      </c>
      <c r="W12" s="25">
        <f t="shared" si="7"/>
        <v>1369.4550654824629</v>
      </c>
      <c r="X12" s="23">
        <f t="shared" si="8"/>
        <v>2</v>
      </c>
    </row>
    <row r="13" spans="1:24" x14ac:dyDescent="0.3">
      <c r="A13" s="19">
        <v>3</v>
      </c>
      <c r="B13" s="13" t="s">
        <v>336</v>
      </c>
      <c r="C13" s="13" t="s">
        <v>337</v>
      </c>
      <c r="D13" s="13" t="s">
        <v>278</v>
      </c>
      <c r="E13" s="23">
        <v>23</v>
      </c>
      <c r="F13" s="23">
        <f>IF(E13=0,,($E$9-E13)*$E$7*100/$E$9)</f>
        <v>123.07692307692308</v>
      </c>
      <c r="G13" s="23"/>
      <c r="H13" s="23">
        <f t="shared" si="0"/>
        <v>0</v>
      </c>
      <c r="I13" s="23">
        <v>12</v>
      </c>
      <c r="J13" s="23">
        <f t="shared" si="1"/>
        <v>248.57142857142858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>
        <v>2</v>
      </c>
      <c r="R13" s="23">
        <f>IF(Q13=0,,($Q$9-Q13)*$Q$7*100/$Q$9)</f>
        <v>225</v>
      </c>
      <c r="S13" s="23">
        <v>6</v>
      </c>
      <c r="T13" s="23">
        <f t="shared" si="5"/>
        <v>271.875</v>
      </c>
      <c r="U13" s="23">
        <v>16</v>
      </c>
      <c r="V13" s="23">
        <f t="shared" si="6"/>
        <v>353.84615384615387</v>
      </c>
      <c r="W13" s="25">
        <f t="shared" si="7"/>
        <v>1222.3695054945056</v>
      </c>
      <c r="X13" s="23">
        <f t="shared" si="8"/>
        <v>3</v>
      </c>
    </row>
    <row r="14" spans="1:24" x14ac:dyDescent="0.3">
      <c r="A14" s="19">
        <v>4</v>
      </c>
      <c r="B14" s="13" t="s">
        <v>334</v>
      </c>
      <c r="C14" s="13" t="s">
        <v>335</v>
      </c>
      <c r="D14" s="13" t="s">
        <v>131</v>
      </c>
      <c r="E14" s="23">
        <v>20</v>
      </c>
      <c r="F14" s="23">
        <f>IF(E14=0,,($E$9-E14)*$E$7*100/$E$9)</f>
        <v>146.15384615384616</v>
      </c>
      <c r="G14" s="23"/>
      <c r="H14" s="23">
        <f t="shared" si="0"/>
        <v>0</v>
      </c>
      <c r="I14" s="23">
        <v>21</v>
      </c>
      <c r="J14" s="23">
        <f t="shared" si="1"/>
        <v>210</v>
      </c>
      <c r="K14" s="23"/>
      <c r="L14" s="23">
        <f t="shared" si="2"/>
        <v>0</v>
      </c>
      <c r="M14" s="23"/>
      <c r="N14" s="23">
        <f t="shared" si="3"/>
        <v>0</v>
      </c>
      <c r="O14" s="23">
        <v>24</v>
      </c>
      <c r="P14" s="23">
        <f t="shared" si="4"/>
        <v>201.36986301369862</v>
      </c>
      <c r="Q14" s="23">
        <v>6</v>
      </c>
      <c r="R14" s="23">
        <f>50/2</f>
        <v>25</v>
      </c>
      <c r="S14" s="23">
        <v>16</v>
      </c>
      <c r="T14" s="23">
        <f t="shared" si="5"/>
        <v>225</v>
      </c>
      <c r="U14" s="23">
        <v>26</v>
      </c>
      <c r="V14" s="23">
        <f t="shared" si="6"/>
        <v>200</v>
      </c>
      <c r="W14" s="25">
        <f t="shared" si="7"/>
        <v>1007.5237091675448</v>
      </c>
      <c r="X14" s="23">
        <f t="shared" si="8"/>
        <v>4</v>
      </c>
    </row>
    <row r="15" spans="1:24" x14ac:dyDescent="0.3">
      <c r="A15" s="19">
        <v>5</v>
      </c>
      <c r="B15" s="13" t="s">
        <v>340</v>
      </c>
      <c r="C15" s="13" t="s">
        <v>341</v>
      </c>
      <c r="D15" s="13" t="s">
        <v>342</v>
      </c>
      <c r="E15" s="23">
        <v>15</v>
      </c>
      <c r="F15" s="23">
        <f>IF(E15=0,,($E$9-E15)*$E$7*100/$E$9)</f>
        <v>184.61538461538461</v>
      </c>
      <c r="G15" s="23"/>
      <c r="H15" s="23">
        <f t="shared" si="0"/>
        <v>0</v>
      </c>
      <c r="I15" s="23">
        <v>25</v>
      </c>
      <c r="J15" s="23">
        <f t="shared" si="1"/>
        <v>192.85714285714286</v>
      </c>
      <c r="K15" s="23"/>
      <c r="L15" s="23">
        <f t="shared" si="2"/>
        <v>0</v>
      </c>
      <c r="M15" s="23"/>
      <c r="N15" s="23">
        <f t="shared" si="3"/>
        <v>0</v>
      </c>
      <c r="O15" s="23"/>
      <c r="P15" s="23">
        <f t="shared" si="4"/>
        <v>0</v>
      </c>
      <c r="Q15" s="23"/>
      <c r="R15" s="23">
        <f t="shared" ref="R15:R23" si="9">IF(Q15=0,,($Q$9-Q15)*$Q$7*100/$Q$9)</f>
        <v>0</v>
      </c>
      <c r="S15" s="23"/>
      <c r="T15" s="23">
        <f t="shared" si="5"/>
        <v>0</v>
      </c>
      <c r="U15" s="23">
        <v>25</v>
      </c>
      <c r="V15" s="23">
        <f t="shared" si="6"/>
        <v>215.38461538461539</v>
      </c>
      <c r="W15" s="25">
        <f t="shared" si="7"/>
        <v>592.85714285714289</v>
      </c>
      <c r="X15" s="13">
        <f t="shared" si="8"/>
        <v>5</v>
      </c>
    </row>
    <row r="16" spans="1:24" x14ac:dyDescent="0.3">
      <c r="A16" s="19">
        <v>6</v>
      </c>
      <c r="B16" s="13" t="s">
        <v>448</v>
      </c>
      <c r="C16" s="13" t="s">
        <v>447</v>
      </c>
      <c r="D16" s="13" t="s">
        <v>408</v>
      </c>
      <c r="E16" s="13"/>
      <c r="F16" s="23">
        <f>IF(E16=0,,($E$9-E16)*$E$7*100/$E$9)</f>
        <v>0</v>
      </c>
      <c r="G16" s="13">
        <v>5</v>
      </c>
      <c r="H16" s="23">
        <f t="shared" si="0"/>
        <v>57.142857142857146</v>
      </c>
      <c r="I16" s="13"/>
      <c r="J16" s="23">
        <f t="shared" si="1"/>
        <v>0</v>
      </c>
      <c r="K16" s="13"/>
      <c r="L16" s="23">
        <f t="shared" si="2"/>
        <v>0</v>
      </c>
      <c r="M16" s="13"/>
      <c r="N16" s="23">
        <f t="shared" si="3"/>
        <v>0</v>
      </c>
      <c r="O16" s="13"/>
      <c r="P16" s="23">
        <f t="shared" si="4"/>
        <v>0</v>
      </c>
      <c r="Q16" s="13">
        <v>2</v>
      </c>
      <c r="R16" s="23">
        <f t="shared" si="9"/>
        <v>225</v>
      </c>
      <c r="S16" s="13"/>
      <c r="T16" s="23">
        <f t="shared" si="5"/>
        <v>0</v>
      </c>
      <c r="U16" s="13"/>
      <c r="V16" s="23">
        <f t="shared" si="6"/>
        <v>0</v>
      </c>
      <c r="W16" s="25">
        <f t="shared" si="7"/>
        <v>282.14285714285717</v>
      </c>
      <c r="X16" s="23">
        <f t="shared" si="8"/>
        <v>6</v>
      </c>
    </row>
    <row r="17" spans="1:24" x14ac:dyDescent="0.3">
      <c r="A17" s="19">
        <v>7</v>
      </c>
      <c r="B17" s="13" t="s">
        <v>836</v>
      </c>
      <c r="C17" s="13" t="s">
        <v>833</v>
      </c>
      <c r="D17" s="13" t="s">
        <v>834</v>
      </c>
      <c r="E17" s="23"/>
      <c r="F17" s="23">
        <f t="shared" ref="F17:F23" si="10">IF(E17=0,,($I$9-E17)*$I$7*100/$I$9)</f>
        <v>0</v>
      </c>
      <c r="G17" s="23"/>
      <c r="H17" s="23">
        <f t="shared" si="0"/>
        <v>0</v>
      </c>
      <c r="I17" s="23"/>
      <c r="J17" s="23">
        <f t="shared" si="1"/>
        <v>0</v>
      </c>
      <c r="K17" s="23"/>
      <c r="L17" s="23">
        <f t="shared" si="2"/>
        <v>0</v>
      </c>
      <c r="M17" s="23"/>
      <c r="N17" s="23">
        <f t="shared" si="3"/>
        <v>0</v>
      </c>
      <c r="O17" s="23"/>
      <c r="P17" s="23">
        <f t="shared" si="4"/>
        <v>0</v>
      </c>
      <c r="Q17" s="23">
        <v>1</v>
      </c>
      <c r="R17" s="23">
        <f t="shared" si="9"/>
        <v>262.5</v>
      </c>
      <c r="S17" s="23"/>
      <c r="T17" s="23">
        <f t="shared" si="5"/>
        <v>0</v>
      </c>
      <c r="U17" s="23"/>
      <c r="V17" s="23">
        <f t="shared" si="6"/>
        <v>0</v>
      </c>
      <c r="W17" s="25">
        <f t="shared" si="7"/>
        <v>262.5</v>
      </c>
      <c r="X17" s="23">
        <f t="shared" si="8"/>
        <v>7</v>
      </c>
    </row>
    <row r="18" spans="1:24" x14ac:dyDescent="0.3">
      <c r="A18" s="19">
        <v>8</v>
      </c>
      <c r="B18" s="13" t="s">
        <v>837</v>
      </c>
      <c r="C18" s="13" t="s">
        <v>835</v>
      </c>
      <c r="D18" s="13" t="s">
        <v>278</v>
      </c>
      <c r="E18" s="23"/>
      <c r="F18" s="23">
        <f t="shared" si="10"/>
        <v>0</v>
      </c>
      <c r="G18" s="23"/>
      <c r="H18" s="23">
        <f t="shared" si="0"/>
        <v>0</v>
      </c>
      <c r="I18" s="23"/>
      <c r="J18" s="23">
        <f t="shared" si="1"/>
        <v>0</v>
      </c>
      <c r="K18" s="23"/>
      <c r="L18" s="23">
        <f t="shared" si="2"/>
        <v>0</v>
      </c>
      <c r="M18" s="23"/>
      <c r="N18" s="23">
        <f t="shared" si="3"/>
        <v>0</v>
      </c>
      <c r="O18" s="23"/>
      <c r="P18" s="23">
        <f t="shared" si="4"/>
        <v>0</v>
      </c>
      <c r="Q18" s="23">
        <v>3</v>
      </c>
      <c r="R18" s="23">
        <f t="shared" si="9"/>
        <v>187.5</v>
      </c>
      <c r="S18" s="23"/>
      <c r="T18" s="23">
        <f t="shared" si="5"/>
        <v>0</v>
      </c>
      <c r="U18" s="23"/>
      <c r="V18" s="23">
        <f t="shared" si="6"/>
        <v>0</v>
      </c>
      <c r="W18" s="25">
        <f t="shared" si="7"/>
        <v>187.5</v>
      </c>
      <c r="X18" s="23">
        <f t="shared" si="8"/>
        <v>8</v>
      </c>
    </row>
    <row r="19" spans="1:24" x14ac:dyDescent="0.3">
      <c r="A19" s="19">
        <v>9</v>
      </c>
      <c r="B19" s="13" t="s">
        <v>839</v>
      </c>
      <c r="C19" s="13" t="s">
        <v>838</v>
      </c>
      <c r="D19" s="13" t="s">
        <v>278</v>
      </c>
      <c r="E19" s="13"/>
      <c r="F19" s="23">
        <f t="shared" si="10"/>
        <v>0</v>
      </c>
      <c r="G19" s="13"/>
      <c r="H19" s="23">
        <f t="shared" si="0"/>
        <v>0</v>
      </c>
      <c r="I19" s="13"/>
      <c r="J19" s="23">
        <f t="shared" si="1"/>
        <v>0</v>
      </c>
      <c r="K19" s="13"/>
      <c r="L19" s="23">
        <f t="shared" si="2"/>
        <v>0</v>
      </c>
      <c r="M19" s="13"/>
      <c r="N19" s="23">
        <f t="shared" si="3"/>
        <v>0</v>
      </c>
      <c r="O19" s="13"/>
      <c r="P19" s="23">
        <f t="shared" si="4"/>
        <v>0</v>
      </c>
      <c r="Q19" s="13">
        <v>5</v>
      </c>
      <c r="R19" s="23">
        <f t="shared" si="9"/>
        <v>112.5</v>
      </c>
      <c r="S19" s="13"/>
      <c r="T19" s="23">
        <f t="shared" si="5"/>
        <v>0</v>
      </c>
      <c r="U19" s="13"/>
      <c r="V19" s="23">
        <f t="shared" si="6"/>
        <v>0</v>
      </c>
      <c r="W19" s="25">
        <f t="shared" si="7"/>
        <v>112.5</v>
      </c>
      <c r="X19" s="13">
        <f t="shared" si="8"/>
        <v>9</v>
      </c>
    </row>
    <row r="20" spans="1:24" x14ac:dyDescent="0.3">
      <c r="A20" s="19">
        <v>10</v>
      </c>
      <c r="B20" s="13"/>
      <c r="C20" s="13"/>
      <c r="D20" s="13"/>
      <c r="E20" s="13"/>
      <c r="F20" s="23">
        <f t="shared" si="10"/>
        <v>0</v>
      </c>
      <c r="G20" s="13"/>
      <c r="H20" s="23">
        <f t="shared" si="0"/>
        <v>0</v>
      </c>
      <c r="I20" s="13"/>
      <c r="J20" s="23">
        <f t="shared" si="1"/>
        <v>0</v>
      </c>
      <c r="K20" s="13"/>
      <c r="L20" s="23">
        <f t="shared" si="2"/>
        <v>0</v>
      </c>
      <c r="M20" s="13"/>
      <c r="N20" s="23">
        <f t="shared" si="3"/>
        <v>0</v>
      </c>
      <c r="O20" s="13"/>
      <c r="P20" s="23">
        <f t="shared" si="4"/>
        <v>0</v>
      </c>
      <c r="Q20" s="13"/>
      <c r="R20" s="23">
        <f t="shared" si="9"/>
        <v>0</v>
      </c>
      <c r="S20" s="13"/>
      <c r="T20" s="23">
        <f t="shared" si="5"/>
        <v>0</v>
      </c>
      <c r="U20" s="13"/>
      <c r="V20" s="23">
        <f t="shared" si="6"/>
        <v>0</v>
      </c>
      <c r="W20" s="25">
        <f t="shared" si="7"/>
        <v>0</v>
      </c>
      <c r="X20" s="13">
        <f t="shared" si="8"/>
        <v>10</v>
      </c>
    </row>
    <row r="21" spans="1:24" x14ac:dyDescent="0.3">
      <c r="A21" s="19">
        <f t="shared" ref="A21:A33" si="11">V21</f>
        <v>0</v>
      </c>
      <c r="B21" s="13"/>
      <c r="C21" s="13"/>
      <c r="D21" s="13"/>
      <c r="E21" s="13"/>
      <c r="F21" s="23">
        <f t="shared" si="10"/>
        <v>0</v>
      </c>
      <c r="G21" s="13"/>
      <c r="H21" s="23">
        <f t="shared" si="0"/>
        <v>0</v>
      </c>
      <c r="I21" s="13"/>
      <c r="J21" s="23">
        <f t="shared" si="1"/>
        <v>0</v>
      </c>
      <c r="K21" s="13"/>
      <c r="L21" s="23">
        <f t="shared" si="2"/>
        <v>0</v>
      </c>
      <c r="M21" s="13"/>
      <c r="N21" s="23">
        <f t="shared" si="3"/>
        <v>0</v>
      </c>
      <c r="O21" s="13"/>
      <c r="P21" s="23">
        <f t="shared" si="4"/>
        <v>0</v>
      </c>
      <c r="Q21" s="13"/>
      <c r="R21" s="23">
        <f t="shared" si="9"/>
        <v>0</v>
      </c>
      <c r="S21" s="13"/>
      <c r="T21" s="23">
        <f t="shared" si="5"/>
        <v>0</v>
      </c>
      <c r="U21" s="13"/>
      <c r="V21" s="23">
        <f t="shared" si="6"/>
        <v>0</v>
      </c>
      <c r="W21" s="25">
        <f t="shared" si="7"/>
        <v>0</v>
      </c>
      <c r="X21" s="13">
        <f t="shared" si="8"/>
        <v>11</v>
      </c>
    </row>
    <row r="22" spans="1:24" x14ac:dyDescent="0.3">
      <c r="A22" s="19">
        <f t="shared" si="11"/>
        <v>0</v>
      </c>
      <c r="B22" s="13"/>
      <c r="C22" s="13"/>
      <c r="D22" s="13"/>
      <c r="E22" s="13"/>
      <c r="F22" s="23">
        <f t="shared" si="10"/>
        <v>0</v>
      </c>
      <c r="G22" s="13"/>
      <c r="H22" s="23">
        <f t="shared" si="0"/>
        <v>0</v>
      </c>
      <c r="I22" s="13"/>
      <c r="J22" s="23">
        <f t="shared" si="1"/>
        <v>0</v>
      </c>
      <c r="K22" s="13"/>
      <c r="L22" s="23">
        <f t="shared" si="2"/>
        <v>0</v>
      </c>
      <c r="M22" s="13"/>
      <c r="N22" s="23">
        <f t="shared" si="3"/>
        <v>0</v>
      </c>
      <c r="O22" s="13"/>
      <c r="P22" s="23">
        <f t="shared" si="4"/>
        <v>0</v>
      </c>
      <c r="Q22" s="13"/>
      <c r="R22" s="23">
        <f t="shared" si="9"/>
        <v>0</v>
      </c>
      <c r="S22" s="13"/>
      <c r="T22" s="23">
        <f t="shared" si="5"/>
        <v>0</v>
      </c>
      <c r="U22" s="13"/>
      <c r="V22" s="23">
        <f t="shared" si="6"/>
        <v>0</v>
      </c>
      <c r="W22" s="25">
        <f t="shared" si="7"/>
        <v>0</v>
      </c>
      <c r="X22" s="13">
        <f t="shared" si="8"/>
        <v>12</v>
      </c>
    </row>
    <row r="23" spans="1:24" x14ac:dyDescent="0.3">
      <c r="A23" s="19">
        <f t="shared" si="11"/>
        <v>0</v>
      </c>
      <c r="B23" s="13"/>
      <c r="C23" s="13"/>
      <c r="D23" s="13"/>
      <c r="E23" s="13"/>
      <c r="F23" s="23">
        <f t="shared" si="10"/>
        <v>0</v>
      </c>
      <c r="G23" s="13"/>
      <c r="H23" s="23">
        <f>IF(G23=0,,($K$9-G23)*$K$7*100/$K$9)</f>
        <v>0</v>
      </c>
      <c r="I23" s="13"/>
      <c r="J23" s="23">
        <f t="shared" si="1"/>
        <v>0</v>
      </c>
      <c r="K23" s="13"/>
      <c r="L23" s="23">
        <f t="shared" si="2"/>
        <v>0</v>
      </c>
      <c r="M23" s="13"/>
      <c r="N23" s="23">
        <f t="shared" si="3"/>
        <v>0</v>
      </c>
      <c r="O23" s="13"/>
      <c r="P23" s="23">
        <f t="shared" si="4"/>
        <v>0</v>
      </c>
      <c r="Q23" s="13"/>
      <c r="R23" s="23">
        <f t="shared" si="9"/>
        <v>0</v>
      </c>
      <c r="S23" s="13"/>
      <c r="T23" s="23">
        <f t="shared" si="5"/>
        <v>0</v>
      </c>
      <c r="U23" s="13"/>
      <c r="V23" s="23">
        <f t="shared" si="6"/>
        <v>0</v>
      </c>
      <c r="W23" s="25">
        <f t="shared" si="7"/>
        <v>0</v>
      </c>
      <c r="X23" s="13">
        <f t="shared" si="8"/>
        <v>13</v>
      </c>
    </row>
    <row r="24" spans="1:24" x14ac:dyDescent="0.3">
      <c r="A24" s="19">
        <f t="shared" si="11"/>
        <v>0</v>
      </c>
      <c r="B24" s="6"/>
      <c r="C24" s="6"/>
      <c r="D24" s="6"/>
      <c r="E24" s="6"/>
      <c r="F24" s="23">
        <f t="shared" ref="F24:F29" si="12">IF(E24=0,,($I$9-E24)*$I$7*100/$I$9)</f>
        <v>0</v>
      </c>
      <c r="G24" s="6"/>
      <c r="H24" s="23">
        <f t="shared" ref="H24:H29" si="13">IF(G24=0,,($K$9-G24)*$K$7*100/$K$9)</f>
        <v>0</v>
      </c>
      <c r="I24" s="6"/>
      <c r="J24" s="23">
        <f t="shared" ref="J24:J29" si="14">IF(I24=0,,($I$9-I24)*$I$7*100/$I$9)</f>
        <v>0</v>
      </c>
      <c r="K24" s="6"/>
      <c r="L24" s="7">
        <f t="shared" ref="L24:L29" si="15">IF(K24=0,,($K$9-K24)*$K$7*100/$K$9)</f>
        <v>0</v>
      </c>
      <c r="M24" s="6"/>
      <c r="N24" s="23">
        <f t="shared" ref="N24" si="16">IF(M24=0,,($M$9-M24)*$M$7*100/$M$9)</f>
        <v>0</v>
      </c>
      <c r="O24" s="6"/>
      <c r="P24" s="23">
        <f t="shared" ref="P24:P25" si="17">IF(O24=0,,($O$9-O24)*$O$7*100/$O$9)</f>
        <v>0</v>
      </c>
      <c r="Q24" s="6"/>
      <c r="R24" s="23">
        <f t="shared" ref="R24:R27" si="18">IF(Q24=0,,($Q$9-Q24)*$Q$7*100/$Q$9)</f>
        <v>0</v>
      </c>
      <c r="S24" s="6"/>
      <c r="T24" s="23">
        <f t="shared" ref="T24:T29" si="19">IF(S24=0,,($S$9-S24)*$S$7*100/$S$9)</f>
        <v>0</v>
      </c>
      <c r="U24" s="6"/>
      <c r="V24" s="23">
        <f t="shared" ref="V24:V29" si="20">IF(U24=0,,($U$9-U24)*$U$7*100/$U$9)</f>
        <v>0</v>
      </c>
      <c r="W24" s="25">
        <f t="shared" ref="W24:W30" si="21">SUM(F24+H24+J24+L24+N24+P24+R24+T24+V24)</f>
        <v>0</v>
      </c>
      <c r="X24" s="13">
        <f t="shared" si="8"/>
        <v>14</v>
      </c>
    </row>
    <row r="25" spans="1:24" x14ac:dyDescent="0.3">
      <c r="A25" s="19">
        <f t="shared" si="11"/>
        <v>0</v>
      </c>
      <c r="B25" s="6"/>
      <c r="C25" s="6"/>
      <c r="D25" s="6"/>
      <c r="E25" s="6"/>
      <c r="F25" s="23">
        <f t="shared" si="12"/>
        <v>0</v>
      </c>
      <c r="G25" s="6"/>
      <c r="H25" s="23">
        <f t="shared" si="13"/>
        <v>0</v>
      </c>
      <c r="I25" s="6"/>
      <c r="J25" s="23">
        <f t="shared" si="14"/>
        <v>0</v>
      </c>
      <c r="K25" s="6"/>
      <c r="L25" s="7">
        <f t="shared" si="15"/>
        <v>0</v>
      </c>
      <c r="M25" s="6"/>
      <c r="N25" s="7">
        <f>IF(M25=0,,($K$9-M25)*$K$7*100/$K$9)</f>
        <v>0</v>
      </c>
      <c r="O25" s="6"/>
      <c r="P25" s="23">
        <f t="shared" si="17"/>
        <v>0</v>
      </c>
      <c r="Q25" s="6"/>
      <c r="R25" s="23">
        <f t="shared" si="18"/>
        <v>0</v>
      </c>
      <c r="S25" s="6"/>
      <c r="T25" s="23">
        <f t="shared" si="19"/>
        <v>0</v>
      </c>
      <c r="U25" s="6"/>
      <c r="V25" s="23">
        <f t="shared" si="20"/>
        <v>0</v>
      </c>
      <c r="W25" s="25">
        <f t="shared" si="21"/>
        <v>0</v>
      </c>
      <c r="X25" s="6"/>
    </row>
    <row r="26" spans="1:24" x14ac:dyDescent="0.3">
      <c r="A26" s="19">
        <f t="shared" si="11"/>
        <v>0</v>
      </c>
      <c r="B26" s="6"/>
      <c r="C26" s="6"/>
      <c r="D26" s="6"/>
      <c r="E26" s="6"/>
      <c r="F26" s="23">
        <f t="shared" si="12"/>
        <v>0</v>
      </c>
      <c r="G26" s="6"/>
      <c r="H26" s="23">
        <f t="shared" si="13"/>
        <v>0</v>
      </c>
      <c r="I26" s="6"/>
      <c r="J26" s="23">
        <f t="shared" si="14"/>
        <v>0</v>
      </c>
      <c r="K26" s="6"/>
      <c r="L26" s="7">
        <f t="shared" si="15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3">
        <f t="shared" si="18"/>
        <v>0</v>
      </c>
      <c r="S26" s="6"/>
      <c r="T26" s="23">
        <f t="shared" si="19"/>
        <v>0</v>
      </c>
      <c r="U26" s="6"/>
      <c r="V26" s="23">
        <f t="shared" si="20"/>
        <v>0</v>
      </c>
      <c r="W26" s="25">
        <f t="shared" si="21"/>
        <v>0</v>
      </c>
      <c r="X26" s="6"/>
    </row>
    <row r="27" spans="1:24" x14ac:dyDescent="0.3">
      <c r="A27" s="19">
        <f t="shared" si="11"/>
        <v>0</v>
      </c>
      <c r="B27" s="6"/>
      <c r="C27" s="6"/>
      <c r="D27" s="6"/>
      <c r="E27" s="6"/>
      <c r="F27" s="23">
        <f t="shared" si="12"/>
        <v>0</v>
      </c>
      <c r="G27" s="6"/>
      <c r="H27" s="23">
        <f t="shared" si="13"/>
        <v>0</v>
      </c>
      <c r="I27" s="6"/>
      <c r="J27" s="23">
        <f t="shared" si="14"/>
        <v>0</v>
      </c>
      <c r="K27" s="6"/>
      <c r="L27" s="7">
        <f t="shared" si="15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3">
        <f t="shared" si="18"/>
        <v>0</v>
      </c>
      <c r="S27" s="6"/>
      <c r="T27" s="23">
        <f t="shared" si="19"/>
        <v>0</v>
      </c>
      <c r="U27" s="6"/>
      <c r="V27" s="23">
        <f t="shared" si="20"/>
        <v>0</v>
      </c>
      <c r="W27" s="25">
        <f t="shared" si="21"/>
        <v>0</v>
      </c>
      <c r="X27" s="6"/>
    </row>
    <row r="28" spans="1:24" x14ac:dyDescent="0.3">
      <c r="A28" s="19">
        <f t="shared" si="11"/>
        <v>0</v>
      </c>
      <c r="B28" s="6"/>
      <c r="C28" s="6"/>
      <c r="D28" s="6"/>
      <c r="E28" s="6"/>
      <c r="F28" s="23">
        <f t="shared" si="12"/>
        <v>0</v>
      </c>
      <c r="G28" s="6"/>
      <c r="H28" s="23">
        <f t="shared" si="13"/>
        <v>0</v>
      </c>
      <c r="I28" s="6"/>
      <c r="J28" s="23">
        <f t="shared" si="14"/>
        <v>0</v>
      </c>
      <c r="K28" s="6"/>
      <c r="L28" s="7">
        <f t="shared" si="15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3">
        <f t="shared" si="19"/>
        <v>0</v>
      </c>
      <c r="U28" s="6"/>
      <c r="V28" s="23">
        <f t="shared" si="20"/>
        <v>0</v>
      </c>
      <c r="W28" s="25">
        <f t="shared" si="21"/>
        <v>0</v>
      </c>
      <c r="X28" s="6"/>
    </row>
    <row r="29" spans="1:24" x14ac:dyDescent="0.3">
      <c r="A29" s="19">
        <f t="shared" si="11"/>
        <v>0</v>
      </c>
      <c r="B29" s="6"/>
      <c r="C29" s="6"/>
      <c r="D29" s="6"/>
      <c r="E29" s="6"/>
      <c r="F29" s="23">
        <f t="shared" si="12"/>
        <v>0</v>
      </c>
      <c r="G29" s="6"/>
      <c r="H29" s="23">
        <f t="shared" si="13"/>
        <v>0</v>
      </c>
      <c r="I29" s="6"/>
      <c r="J29" s="23">
        <f t="shared" si="14"/>
        <v>0</v>
      </c>
      <c r="K29" s="6"/>
      <c r="L29" s="7">
        <f t="shared" si="15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3">
        <f t="shared" si="19"/>
        <v>0</v>
      </c>
      <c r="U29" s="6"/>
      <c r="V29" s="23">
        <f t="shared" si="20"/>
        <v>0</v>
      </c>
      <c r="W29" s="25">
        <f t="shared" si="21"/>
        <v>0</v>
      </c>
      <c r="X29" s="6"/>
    </row>
    <row r="30" spans="1:24" x14ac:dyDescent="0.3">
      <c r="A30" s="19">
        <f t="shared" si="11"/>
        <v>0</v>
      </c>
      <c r="B30" s="6"/>
      <c r="C30" s="6"/>
      <c r="D30" s="6"/>
      <c r="E30" s="6"/>
      <c r="F30" s="23">
        <f t="shared" ref="F30:F33" si="22">IF(E30=0,,($I$9-E30)*$I$7*100/$I$9)</f>
        <v>0</v>
      </c>
      <c r="G30" s="6"/>
      <c r="H30" s="23">
        <f t="shared" ref="H30:H33" si="23">IF(G30=0,,($K$9-G30)*$K$7*100/$K$9)</f>
        <v>0</v>
      </c>
      <c r="I30" s="6"/>
      <c r="J30" s="23">
        <f t="shared" ref="J30:J33" si="24">IF(I30=0,,($I$9-I30)*$I$7*100/$I$9)</f>
        <v>0</v>
      </c>
      <c r="K30" s="6"/>
      <c r="L30" s="7">
        <f t="shared" ref="L30:L33" si="25">IF(K30=0,,($K$9-K30)*$K$7*100/$K$9)</f>
        <v>0</v>
      </c>
      <c r="M30" s="6"/>
      <c r="N30" s="7">
        <f t="shared" ref="N30:N33" si="26">IF(M30=0,,($K$9-M30)*$K$7*100/$K$9)</f>
        <v>0</v>
      </c>
      <c r="O30" s="6"/>
      <c r="P30" s="7">
        <f t="shared" ref="P30:P33" si="27">IF(O30=0,,($K$9-O30)*$K$7*100/$K$9)</f>
        <v>0</v>
      </c>
      <c r="Q30" s="6"/>
      <c r="R30" s="7">
        <f t="shared" ref="R30:R33" si="28">IF(Q30=0,,($K$9-Q30)*$K$7*100/$K$9)</f>
        <v>0</v>
      </c>
      <c r="S30" s="6"/>
      <c r="T30" s="23">
        <f t="shared" ref="T30" si="29">IF(S30=0,,($S$9-S30)*$S$7*100/$S$9)</f>
        <v>0</v>
      </c>
      <c r="U30" s="6"/>
      <c r="V30" s="7">
        <f t="shared" ref="V30:V33" si="30">IF(U30=0,,($K$9-U30)*$K$7*100/$K$9)</f>
        <v>0</v>
      </c>
      <c r="W30" s="25">
        <f t="shared" si="21"/>
        <v>0</v>
      </c>
      <c r="X30" s="6"/>
    </row>
    <row r="31" spans="1:24" x14ac:dyDescent="0.3">
      <c r="A31" s="19">
        <f t="shared" si="11"/>
        <v>0</v>
      </c>
      <c r="B31" s="6"/>
      <c r="C31" s="6"/>
      <c r="D31" s="6"/>
      <c r="E31" s="6"/>
      <c r="F31" s="23">
        <f t="shared" si="22"/>
        <v>0</v>
      </c>
      <c r="G31" s="6"/>
      <c r="H31" s="23">
        <f t="shared" si="23"/>
        <v>0</v>
      </c>
      <c r="I31" s="6"/>
      <c r="J31" s="23">
        <f t="shared" si="24"/>
        <v>0</v>
      </c>
      <c r="K31" s="6"/>
      <c r="L31" s="7">
        <f t="shared" si="25"/>
        <v>0</v>
      </c>
      <c r="M31" s="6"/>
      <c r="N31" s="7">
        <f t="shared" si="26"/>
        <v>0</v>
      </c>
      <c r="O31" s="6"/>
      <c r="P31" s="7">
        <f t="shared" si="27"/>
        <v>0</v>
      </c>
      <c r="Q31" s="6"/>
      <c r="R31" s="7">
        <f t="shared" si="28"/>
        <v>0</v>
      </c>
      <c r="S31" s="6"/>
      <c r="T31" s="7">
        <f t="shared" ref="T31:T33" si="31">IF(S31=0,,($K$9-S31)*$K$7*100/$K$9)</f>
        <v>0</v>
      </c>
      <c r="U31" s="6"/>
      <c r="V31" s="7">
        <f t="shared" si="30"/>
        <v>0</v>
      </c>
      <c r="W31" s="8">
        <f t="shared" ref="W31:W33" si="32">SUM(J31,L31)</f>
        <v>0</v>
      </c>
      <c r="X31" s="6"/>
    </row>
    <row r="32" spans="1:24" x14ac:dyDescent="0.3">
      <c r="A32" s="19">
        <f t="shared" si="11"/>
        <v>0</v>
      </c>
      <c r="B32" s="6"/>
      <c r="C32" s="6"/>
      <c r="D32" s="6"/>
      <c r="E32" s="6"/>
      <c r="F32" s="23">
        <f t="shared" si="22"/>
        <v>0</v>
      </c>
      <c r="G32" s="6"/>
      <c r="H32" s="23">
        <f t="shared" si="23"/>
        <v>0</v>
      </c>
      <c r="I32" s="6"/>
      <c r="J32" s="23">
        <f t="shared" si="24"/>
        <v>0</v>
      </c>
      <c r="K32" s="6"/>
      <c r="L32" s="7">
        <f t="shared" si="25"/>
        <v>0</v>
      </c>
      <c r="M32" s="6"/>
      <c r="N32" s="7">
        <f t="shared" si="26"/>
        <v>0</v>
      </c>
      <c r="O32" s="6"/>
      <c r="P32" s="7">
        <f t="shared" si="27"/>
        <v>0</v>
      </c>
      <c r="Q32" s="6"/>
      <c r="R32" s="7">
        <f t="shared" si="28"/>
        <v>0</v>
      </c>
      <c r="S32" s="6"/>
      <c r="T32" s="7">
        <f t="shared" si="31"/>
        <v>0</v>
      </c>
      <c r="U32" s="6"/>
      <c r="V32" s="7">
        <f t="shared" si="30"/>
        <v>0</v>
      </c>
      <c r="W32" s="8">
        <f t="shared" si="32"/>
        <v>0</v>
      </c>
      <c r="X32" s="6"/>
    </row>
    <row r="33" spans="1:24" x14ac:dyDescent="0.3">
      <c r="A33" s="19">
        <f t="shared" si="11"/>
        <v>0</v>
      </c>
      <c r="B33" s="6"/>
      <c r="C33" s="6"/>
      <c r="D33" s="6"/>
      <c r="E33" s="6"/>
      <c r="F33" s="23">
        <f t="shared" si="22"/>
        <v>0</v>
      </c>
      <c r="G33" s="6"/>
      <c r="H33" s="23">
        <f t="shared" si="23"/>
        <v>0</v>
      </c>
      <c r="I33" s="6"/>
      <c r="J33" s="23">
        <f t="shared" si="24"/>
        <v>0</v>
      </c>
      <c r="K33" s="6"/>
      <c r="L33" s="7">
        <f t="shared" si="25"/>
        <v>0</v>
      </c>
      <c r="M33" s="6"/>
      <c r="N33" s="7">
        <f t="shared" si="26"/>
        <v>0</v>
      </c>
      <c r="O33" s="6"/>
      <c r="P33" s="7">
        <f t="shared" si="27"/>
        <v>0</v>
      </c>
      <c r="Q33" s="6"/>
      <c r="R33" s="7">
        <f t="shared" si="28"/>
        <v>0</v>
      </c>
      <c r="S33" s="6"/>
      <c r="T33" s="7">
        <f t="shared" si="31"/>
        <v>0</v>
      </c>
      <c r="U33" s="6"/>
      <c r="V33" s="7">
        <f t="shared" si="30"/>
        <v>0</v>
      </c>
      <c r="W33" s="8">
        <f t="shared" si="32"/>
        <v>0</v>
      </c>
      <c r="X33" s="6"/>
    </row>
    <row r="34" spans="1:24" x14ac:dyDescent="0.3">
      <c r="A34" s="45" t="s">
        <v>11</v>
      </c>
      <c r="B34" s="45"/>
      <c r="C34" s="46"/>
      <c r="E34">
        <f>COUNTA(E11:E33)</f>
        <v>4</v>
      </c>
      <c r="G34">
        <f>COUNTA(G11:G33)</f>
        <v>1</v>
      </c>
      <c r="I34">
        <f>COUNTA(I11:I33)</f>
        <v>5</v>
      </c>
      <c r="K34">
        <f>COUNTA(K11:K33)</f>
        <v>0</v>
      </c>
    </row>
  </sheetData>
  <sortState xmlns:xlrd2="http://schemas.microsoft.com/office/spreadsheetml/2017/richdata2" ref="B11:W23">
    <sortCondition descending="1" ref="W11:W23"/>
  </sortState>
  <mergeCells count="38">
    <mergeCell ref="U9:V9"/>
    <mergeCell ref="I8:J8"/>
    <mergeCell ref="K8:L8"/>
    <mergeCell ref="M6:N6"/>
    <mergeCell ref="M7:N7"/>
    <mergeCell ref="M8:N8"/>
    <mergeCell ref="M9:N9"/>
    <mergeCell ref="O6:P6"/>
    <mergeCell ref="O7:P7"/>
    <mergeCell ref="O8:P8"/>
    <mergeCell ref="O9:P9"/>
    <mergeCell ref="Q6:R6"/>
    <mergeCell ref="Q7:R7"/>
    <mergeCell ref="Q9:R9"/>
    <mergeCell ref="S9:T9"/>
    <mergeCell ref="E8:F8"/>
    <mergeCell ref="G8:H8"/>
    <mergeCell ref="U6:V6"/>
    <mergeCell ref="U7:V7"/>
    <mergeCell ref="U8:V8"/>
    <mergeCell ref="Q8:R8"/>
    <mergeCell ref="S6:T6"/>
    <mergeCell ref="S7:T7"/>
    <mergeCell ref="S8:T8"/>
    <mergeCell ref="A1:K1"/>
    <mergeCell ref="I6:J6"/>
    <mergeCell ref="K6:L6"/>
    <mergeCell ref="I7:J7"/>
    <mergeCell ref="K7:L7"/>
    <mergeCell ref="E6:F6"/>
    <mergeCell ref="G6:H6"/>
    <mergeCell ref="E7:F7"/>
    <mergeCell ref="G7:H7"/>
    <mergeCell ref="E9:F9"/>
    <mergeCell ref="G9:H9"/>
    <mergeCell ref="I9:J9"/>
    <mergeCell ref="K9:L9"/>
    <mergeCell ref="A34:C3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83"/>
  <sheetViews>
    <sheetView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AB15" sqref="AB15"/>
    </sheetView>
  </sheetViews>
  <sheetFormatPr baseColWidth="10" defaultRowHeight="14.4" x14ac:dyDescent="0.3"/>
  <cols>
    <col min="1" max="1" width="15.33203125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24" max="24" width="12" customWidth="1"/>
    <col min="25" max="25" width="12.109375" customWidth="1"/>
  </cols>
  <sheetData>
    <row r="1" spans="1:26" ht="31.2" x14ac:dyDescent="0.6">
      <c r="A1" s="47" t="s">
        <v>60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3" spans="1:26" x14ac:dyDescent="0.3">
      <c r="B3" s="2"/>
    </row>
    <row r="4" spans="1:26" x14ac:dyDescent="0.3">
      <c r="B4" s="2"/>
      <c r="C4" s="3"/>
    </row>
    <row r="6" spans="1:26" ht="28.95" customHeight="1" x14ac:dyDescent="0.3">
      <c r="D6" s="1" t="s">
        <v>0</v>
      </c>
      <c r="E6" s="48" t="s">
        <v>62</v>
      </c>
      <c r="F6" s="48"/>
      <c r="G6" s="48" t="s">
        <v>363</v>
      </c>
      <c r="H6" s="48"/>
      <c r="I6" s="48" t="s">
        <v>67</v>
      </c>
      <c r="J6" s="48"/>
      <c r="K6" s="48" t="s">
        <v>39</v>
      </c>
      <c r="L6" s="48"/>
      <c r="M6" s="48" t="s">
        <v>70</v>
      </c>
      <c r="N6" s="48"/>
      <c r="O6" s="48" t="s">
        <v>73</v>
      </c>
      <c r="P6" s="48"/>
      <c r="Q6" s="49" t="s">
        <v>796</v>
      </c>
      <c r="R6" s="49"/>
      <c r="S6" s="48" t="s">
        <v>75</v>
      </c>
      <c r="T6" s="48"/>
      <c r="U6" s="48" t="s">
        <v>79</v>
      </c>
      <c r="V6" s="48"/>
      <c r="W6" s="48" t="s">
        <v>42</v>
      </c>
      <c r="X6" s="48"/>
    </row>
    <row r="7" spans="1:26" x14ac:dyDescent="0.3">
      <c r="D7" s="1" t="s">
        <v>10</v>
      </c>
      <c r="E7" s="42">
        <v>5</v>
      </c>
      <c r="F7" s="43"/>
      <c r="G7" s="42">
        <v>2</v>
      </c>
      <c r="H7" s="43"/>
      <c r="I7" s="42">
        <v>5</v>
      </c>
      <c r="J7" s="43"/>
      <c r="K7" s="42">
        <v>3</v>
      </c>
      <c r="L7" s="43"/>
      <c r="M7" s="42">
        <v>5</v>
      </c>
      <c r="N7" s="43"/>
      <c r="O7" s="42">
        <v>5</v>
      </c>
      <c r="P7" s="43"/>
      <c r="Q7" s="42">
        <v>3</v>
      </c>
      <c r="R7" s="43"/>
      <c r="S7" s="42">
        <v>5</v>
      </c>
      <c r="T7" s="43"/>
      <c r="U7" s="42">
        <v>2</v>
      </c>
      <c r="V7" s="43"/>
      <c r="W7" s="42">
        <v>6</v>
      </c>
      <c r="X7" s="43"/>
    </row>
    <row r="8" spans="1:26" x14ac:dyDescent="0.3">
      <c r="D8" s="1" t="s">
        <v>1</v>
      </c>
      <c r="E8" s="44" t="s">
        <v>38</v>
      </c>
      <c r="F8" s="44"/>
      <c r="G8" s="44">
        <v>45226</v>
      </c>
      <c r="H8" s="44"/>
      <c r="I8" s="44" t="s">
        <v>68</v>
      </c>
      <c r="J8" s="44"/>
      <c r="K8" s="44" t="s">
        <v>35</v>
      </c>
      <c r="L8" s="44"/>
      <c r="M8" s="44" t="s">
        <v>36</v>
      </c>
      <c r="N8" s="44"/>
      <c r="O8" s="44" t="s">
        <v>45</v>
      </c>
      <c r="P8" s="44"/>
      <c r="Q8" s="44">
        <v>45389</v>
      </c>
      <c r="R8" s="44"/>
      <c r="S8" s="44" t="s">
        <v>74</v>
      </c>
      <c r="T8" s="44"/>
      <c r="U8" s="44">
        <v>45431</v>
      </c>
      <c r="V8" s="44"/>
      <c r="W8" s="44" t="s">
        <v>78</v>
      </c>
      <c r="X8" s="44"/>
    </row>
    <row r="9" spans="1:26" x14ac:dyDescent="0.3">
      <c r="D9" s="1" t="s">
        <v>2</v>
      </c>
      <c r="E9" s="41">
        <v>393</v>
      </c>
      <c r="F9" s="41"/>
      <c r="G9" s="41">
        <v>40</v>
      </c>
      <c r="H9" s="41"/>
      <c r="I9" s="41">
        <v>210</v>
      </c>
      <c r="J9" s="41"/>
      <c r="K9" s="41">
        <v>80</v>
      </c>
      <c r="L9" s="41"/>
      <c r="M9" s="41">
        <v>288</v>
      </c>
      <c r="N9" s="41"/>
      <c r="O9" s="41">
        <v>0</v>
      </c>
      <c r="P9" s="41"/>
      <c r="Q9" s="41">
        <v>47</v>
      </c>
      <c r="R9" s="41"/>
      <c r="S9" s="41">
        <v>169</v>
      </c>
      <c r="T9" s="41"/>
      <c r="U9" s="41">
        <v>0</v>
      </c>
      <c r="V9" s="41"/>
      <c r="W9" s="41">
        <v>154</v>
      </c>
      <c r="X9" s="41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19">
        <f>Z11</f>
        <v>1</v>
      </c>
      <c r="B11" s="13" t="s">
        <v>258</v>
      </c>
      <c r="C11" s="13" t="s">
        <v>259</v>
      </c>
      <c r="D11" s="23" t="s">
        <v>131</v>
      </c>
      <c r="E11" s="24">
        <v>31</v>
      </c>
      <c r="F11" s="23">
        <f t="shared" ref="F11:F16" si="0">IF(E11=0,,($E$9-E11)*$E$7*100/$E$9)</f>
        <v>460.55979643765903</v>
      </c>
      <c r="G11" s="24"/>
      <c r="H11" s="23">
        <f t="shared" ref="H11:H22" si="1">IF(G11=0,,($G$9-G11)*$G$7*100/$G$9)</f>
        <v>0</v>
      </c>
      <c r="I11" s="24"/>
      <c r="J11" s="23">
        <f t="shared" ref="J11:J37" si="2">IF(I11=0,,($I$9-I11)*$I$7*100/$I$9)</f>
        <v>0</v>
      </c>
      <c r="K11" s="24">
        <v>22</v>
      </c>
      <c r="L11" s="7">
        <f t="shared" ref="L11:L37" si="3">IF(K11=0,,($K$9-K11)*$K$7*100/$K$9)</f>
        <v>217.5</v>
      </c>
      <c r="M11">
        <v>17</v>
      </c>
      <c r="N11" s="7">
        <f t="shared" ref="N11:N37" si="4">IF(M11=0,,($M$9-M11)*$M$7*100/$M$9)</f>
        <v>470.48611111111109</v>
      </c>
      <c r="P11" s="7">
        <f>IF(O11=0,,(#REF!-O11)*#REF!*100/#REF!)</f>
        <v>0</v>
      </c>
      <c r="Q11">
        <v>9</v>
      </c>
      <c r="R11" s="7">
        <f t="shared" ref="R11:R42" si="5">IF(Q11=0,,($Q$9-Q11)*$Q$7*100/$Q$9)</f>
        <v>242.55319148936169</v>
      </c>
      <c r="S11">
        <v>53</v>
      </c>
      <c r="T11" s="7">
        <f t="shared" ref="T11:T42" si="6">IF(S11=0,,($S$9-S11)*$S$7*100/$S$9)</f>
        <v>343.19526627218937</v>
      </c>
      <c r="V11" s="7">
        <f>IF(U11=0,,(#REF!-U11)*#REF!*100/#REF!)</f>
        <v>0</v>
      </c>
      <c r="W11">
        <v>33</v>
      </c>
      <c r="X11" s="7">
        <f t="shared" ref="X11:X42" si="7">IF(W11=0,,($W$9-W11)*$W$7*100/$W$9)</f>
        <v>471.42857142857144</v>
      </c>
      <c r="Y11" s="8">
        <f t="shared" ref="Y11:Y42" si="8">SUM(F11,H11,L11,J11,,N11,P11,R11,T11,V11,X11)</f>
        <v>2205.7229367388927</v>
      </c>
      <c r="Z11" s="7">
        <f t="shared" ref="Z11:Z42" si="9">ROW(B11)-10</f>
        <v>1</v>
      </c>
    </row>
    <row r="12" spans="1:26" x14ac:dyDescent="0.3">
      <c r="A12" s="19">
        <f>Z12</f>
        <v>2</v>
      </c>
      <c r="B12" s="13" t="s">
        <v>210</v>
      </c>
      <c r="C12" s="13" t="s">
        <v>260</v>
      </c>
      <c r="D12" s="13" t="s">
        <v>131</v>
      </c>
      <c r="E12" s="23">
        <v>97</v>
      </c>
      <c r="F12" s="23">
        <f t="shared" si="0"/>
        <v>376.59033078880407</v>
      </c>
      <c r="G12" s="23"/>
      <c r="H12" s="23">
        <f t="shared" si="1"/>
        <v>0</v>
      </c>
      <c r="I12" s="23">
        <v>116</v>
      </c>
      <c r="J12" s="23">
        <f t="shared" si="2"/>
        <v>223.8095238095238</v>
      </c>
      <c r="K12" s="23">
        <v>3</v>
      </c>
      <c r="L12" s="7">
        <f t="shared" si="3"/>
        <v>288.75</v>
      </c>
      <c r="M12" s="7">
        <v>93</v>
      </c>
      <c r="N12" s="7">
        <f t="shared" si="4"/>
        <v>338.54166666666669</v>
      </c>
      <c r="O12" s="7"/>
      <c r="P12" s="7">
        <f>IF(O12=0,,(#REF!-O12)*#REF!*100/#REF!)</f>
        <v>0</v>
      </c>
      <c r="Q12" s="7">
        <v>2</v>
      </c>
      <c r="R12" s="7">
        <f t="shared" si="5"/>
        <v>287.2340425531915</v>
      </c>
      <c r="S12" s="7">
        <v>58</v>
      </c>
      <c r="T12" s="7">
        <f t="shared" si="6"/>
        <v>328.40236686390534</v>
      </c>
      <c r="U12" s="7"/>
      <c r="V12" s="7">
        <f>IF(U12=0,,(#REF!-U12)*#REF!*100/#REF!)</f>
        <v>0</v>
      </c>
      <c r="W12" s="7">
        <v>85</v>
      </c>
      <c r="X12" s="7">
        <f t="shared" si="7"/>
        <v>268.83116883116884</v>
      </c>
      <c r="Y12" s="8">
        <f t="shared" si="8"/>
        <v>2112.1590995132606</v>
      </c>
      <c r="Z12" s="7">
        <f t="shared" si="9"/>
        <v>2</v>
      </c>
    </row>
    <row r="13" spans="1:26" x14ac:dyDescent="0.3">
      <c r="A13" s="19">
        <f>Z13</f>
        <v>3</v>
      </c>
      <c r="B13" s="13" t="s">
        <v>265</v>
      </c>
      <c r="C13" s="13" t="s">
        <v>266</v>
      </c>
      <c r="D13" s="13" t="s">
        <v>131</v>
      </c>
      <c r="E13" s="23">
        <v>148</v>
      </c>
      <c r="F13" s="23">
        <f t="shared" si="0"/>
        <v>311.70483460559797</v>
      </c>
      <c r="G13" s="23">
        <v>10</v>
      </c>
      <c r="H13" s="23">
        <f t="shared" si="1"/>
        <v>150</v>
      </c>
      <c r="I13" s="23">
        <v>101</v>
      </c>
      <c r="J13" s="23">
        <f t="shared" si="2"/>
        <v>259.52380952380952</v>
      </c>
      <c r="K13" s="23">
        <v>1</v>
      </c>
      <c r="L13" s="7">
        <f t="shared" si="3"/>
        <v>296.25</v>
      </c>
      <c r="M13" s="7">
        <v>117</v>
      </c>
      <c r="N13" s="7">
        <f t="shared" si="4"/>
        <v>296.875</v>
      </c>
      <c r="O13" s="7"/>
      <c r="P13" s="7">
        <f>IF(O13=0,,(#REF!-O13)*#REF!*100/#REF!)</f>
        <v>0</v>
      </c>
      <c r="Q13" s="7">
        <v>1</v>
      </c>
      <c r="R13" s="7">
        <f t="shared" si="5"/>
        <v>293.61702127659572</v>
      </c>
      <c r="S13" s="7">
        <v>123</v>
      </c>
      <c r="T13" s="7">
        <f t="shared" si="6"/>
        <v>136.09467455621302</v>
      </c>
      <c r="U13" s="7"/>
      <c r="V13" s="7">
        <f>IF(U13=0,,(#REF!-U13)*#REF!*100/#REF!)</f>
        <v>0</v>
      </c>
      <c r="W13" s="7">
        <v>72</v>
      </c>
      <c r="X13" s="7">
        <f t="shared" si="7"/>
        <v>319.48051948051949</v>
      </c>
      <c r="Y13" s="8">
        <f t="shared" si="8"/>
        <v>2063.5458594427359</v>
      </c>
      <c r="Z13" s="7">
        <f t="shared" si="9"/>
        <v>3</v>
      </c>
    </row>
    <row r="14" spans="1:26" x14ac:dyDescent="0.3">
      <c r="A14" s="19">
        <f>Z14</f>
        <v>4</v>
      </c>
      <c r="B14" s="13" t="s">
        <v>261</v>
      </c>
      <c r="C14" s="13" t="s">
        <v>262</v>
      </c>
      <c r="D14" s="13" t="s">
        <v>131</v>
      </c>
      <c r="E14" s="23">
        <v>107</v>
      </c>
      <c r="F14" s="23">
        <f t="shared" si="0"/>
        <v>363.86768447837153</v>
      </c>
      <c r="G14" s="23">
        <v>18</v>
      </c>
      <c r="H14" s="23">
        <f t="shared" si="1"/>
        <v>110</v>
      </c>
      <c r="I14" s="23">
        <v>175</v>
      </c>
      <c r="J14" s="23">
        <f t="shared" si="2"/>
        <v>83.333333333333329</v>
      </c>
      <c r="K14" s="23">
        <v>14</v>
      </c>
      <c r="L14" s="7">
        <f t="shared" si="3"/>
        <v>247.5</v>
      </c>
      <c r="M14" s="7">
        <v>194</v>
      </c>
      <c r="N14" s="7">
        <f t="shared" si="4"/>
        <v>163.19444444444446</v>
      </c>
      <c r="O14" s="7"/>
      <c r="P14" s="7">
        <f>IF(O14=0,,(#REF!-O14)*#REF!*100/#REF!)</f>
        <v>0</v>
      </c>
      <c r="Q14" s="7">
        <v>14</v>
      </c>
      <c r="R14" s="7">
        <f t="shared" si="5"/>
        <v>210.63829787234042</v>
      </c>
      <c r="S14" s="7">
        <v>118</v>
      </c>
      <c r="T14" s="7">
        <f t="shared" si="6"/>
        <v>150.88757396449705</v>
      </c>
      <c r="U14" s="7"/>
      <c r="V14" s="7">
        <f>IF(U14=0,,(#REF!-U14)*#REF!*100/#REF!)</f>
        <v>0</v>
      </c>
      <c r="W14" s="7">
        <v>106</v>
      </c>
      <c r="X14" s="7">
        <f t="shared" si="7"/>
        <v>187.01298701298703</v>
      </c>
      <c r="Y14" s="8">
        <f t="shared" si="8"/>
        <v>1516.4343211059738</v>
      </c>
      <c r="Z14" s="7">
        <f t="shared" si="9"/>
        <v>4</v>
      </c>
    </row>
    <row r="15" spans="1:26" x14ac:dyDescent="0.3">
      <c r="A15" s="19">
        <v>6</v>
      </c>
      <c r="B15" s="13" t="s">
        <v>138</v>
      </c>
      <c r="C15" s="13" t="s">
        <v>139</v>
      </c>
      <c r="D15" s="13" t="s">
        <v>131</v>
      </c>
      <c r="E15" s="23">
        <v>129</v>
      </c>
      <c r="F15" s="23">
        <f t="shared" si="0"/>
        <v>335.87786259541986</v>
      </c>
      <c r="G15" s="23">
        <v>2</v>
      </c>
      <c r="H15" s="23">
        <f t="shared" si="1"/>
        <v>190</v>
      </c>
      <c r="I15" s="23"/>
      <c r="J15" s="23">
        <f t="shared" si="2"/>
        <v>0</v>
      </c>
      <c r="K15" s="23">
        <v>27</v>
      </c>
      <c r="L15" s="7">
        <f t="shared" si="3"/>
        <v>198.75</v>
      </c>
      <c r="M15" s="7">
        <v>121</v>
      </c>
      <c r="N15" s="7">
        <f t="shared" si="4"/>
        <v>289.93055555555554</v>
      </c>
      <c r="O15" s="7"/>
      <c r="P15" s="7">
        <f>IF(O15=0,,(#REF!-O15)*#REF!*100/#REF!)</f>
        <v>0</v>
      </c>
      <c r="Q15" s="7">
        <v>6</v>
      </c>
      <c r="R15" s="7">
        <f t="shared" si="5"/>
        <v>261.70212765957444</v>
      </c>
      <c r="S15" s="7"/>
      <c r="T15" s="7">
        <f t="shared" si="6"/>
        <v>0</v>
      </c>
      <c r="U15" s="7"/>
      <c r="V15" s="7">
        <f>IF(U15=0,,(#REF!-U15)*#REF!*100/#REF!)</f>
        <v>0</v>
      </c>
      <c r="W15" s="7">
        <v>124</v>
      </c>
      <c r="X15" s="7">
        <f t="shared" si="7"/>
        <v>116.88311688311688</v>
      </c>
      <c r="Y15" s="8">
        <f t="shared" si="8"/>
        <v>1393.1436626936668</v>
      </c>
      <c r="Z15" s="7">
        <f t="shared" si="9"/>
        <v>5</v>
      </c>
    </row>
    <row r="16" spans="1:26" x14ac:dyDescent="0.3">
      <c r="A16" s="19">
        <v>7</v>
      </c>
      <c r="B16" s="13" t="s">
        <v>263</v>
      </c>
      <c r="C16" s="13" t="s">
        <v>148</v>
      </c>
      <c r="D16" s="13" t="s">
        <v>264</v>
      </c>
      <c r="E16" s="23">
        <v>124</v>
      </c>
      <c r="F16" s="23">
        <f t="shared" si="0"/>
        <v>342.23918575063612</v>
      </c>
      <c r="G16" s="23"/>
      <c r="H16" s="23">
        <f t="shared" si="1"/>
        <v>0</v>
      </c>
      <c r="I16" s="23">
        <v>154</v>
      </c>
      <c r="J16" s="23">
        <f t="shared" si="2"/>
        <v>133.33333333333334</v>
      </c>
      <c r="K16" s="23"/>
      <c r="L16" s="7">
        <f t="shared" si="3"/>
        <v>0</v>
      </c>
      <c r="M16" s="7">
        <v>69</v>
      </c>
      <c r="N16" s="7">
        <f t="shared" si="4"/>
        <v>380.20833333333331</v>
      </c>
      <c r="O16" s="7"/>
      <c r="P16" s="7">
        <f>IF(O16=0,,(#REF!-O16)*#REF!*100/#REF!)</f>
        <v>0</v>
      </c>
      <c r="Q16" s="7">
        <v>21</v>
      </c>
      <c r="R16" s="7">
        <f t="shared" si="5"/>
        <v>165.95744680851064</v>
      </c>
      <c r="S16" s="7">
        <v>80</v>
      </c>
      <c r="T16" s="7">
        <f t="shared" si="6"/>
        <v>263.31360946745565</v>
      </c>
      <c r="U16" s="7"/>
      <c r="V16" s="7">
        <f>IF(U16=0,,(#REF!-U16)*#REF!*100/#REF!)</f>
        <v>0</v>
      </c>
      <c r="W16" s="7">
        <v>134</v>
      </c>
      <c r="X16" s="7">
        <f t="shared" si="7"/>
        <v>77.922077922077918</v>
      </c>
      <c r="Y16" s="8">
        <f t="shared" si="8"/>
        <v>1362.973986615347</v>
      </c>
      <c r="Z16" s="7">
        <f t="shared" si="9"/>
        <v>6</v>
      </c>
    </row>
    <row r="17" spans="1:26" x14ac:dyDescent="0.3">
      <c r="A17" s="19">
        <v>8</v>
      </c>
      <c r="B17" s="21" t="s">
        <v>553</v>
      </c>
      <c r="C17" s="21" t="s">
        <v>285</v>
      </c>
      <c r="D17" s="21" t="s">
        <v>278</v>
      </c>
      <c r="E17" s="6"/>
      <c r="F17" s="21">
        <f>IF(E17=0,,$E$9+1-E17)</f>
        <v>0</v>
      </c>
      <c r="G17" s="6"/>
      <c r="H17" s="22">
        <f t="shared" si="1"/>
        <v>0</v>
      </c>
      <c r="I17" s="6"/>
      <c r="J17" s="22">
        <f t="shared" si="2"/>
        <v>0</v>
      </c>
      <c r="K17" s="13">
        <v>16</v>
      </c>
      <c r="L17" s="7">
        <f t="shared" si="3"/>
        <v>240</v>
      </c>
      <c r="M17" s="6">
        <v>60</v>
      </c>
      <c r="N17" s="7">
        <f t="shared" si="4"/>
        <v>395.83333333333331</v>
      </c>
      <c r="O17" s="6"/>
      <c r="P17" s="7">
        <f>IF(O17=0,,(#REF!-O17)*#REF!*100/#REF!)</f>
        <v>0</v>
      </c>
      <c r="Q17" s="6">
        <v>7</v>
      </c>
      <c r="R17" s="7">
        <f t="shared" si="5"/>
        <v>255.31914893617022</v>
      </c>
      <c r="S17" s="6"/>
      <c r="T17" s="7">
        <f t="shared" si="6"/>
        <v>0</v>
      </c>
      <c r="U17" s="6"/>
      <c r="V17" s="7">
        <f>IF(U17=0,,(#REF!-U17)*#REF!*100/#REF!)</f>
        <v>0</v>
      </c>
      <c r="W17" s="6">
        <v>74</v>
      </c>
      <c r="X17" s="7">
        <f t="shared" si="7"/>
        <v>311.68831168831167</v>
      </c>
      <c r="Y17" s="8">
        <f t="shared" si="8"/>
        <v>1202.8407939578151</v>
      </c>
      <c r="Z17" s="7">
        <f t="shared" si="9"/>
        <v>7</v>
      </c>
    </row>
    <row r="18" spans="1:26" x14ac:dyDescent="0.3">
      <c r="A18" s="19">
        <v>9</v>
      </c>
      <c r="B18" s="21" t="s">
        <v>546</v>
      </c>
      <c r="C18" s="21" t="s">
        <v>237</v>
      </c>
      <c r="D18" s="21" t="s">
        <v>408</v>
      </c>
      <c r="E18" s="6"/>
      <c r="F18" s="21">
        <f>IF(E18=0,,$E$9+1-E18)</f>
        <v>0</v>
      </c>
      <c r="G18" s="6"/>
      <c r="H18" s="22">
        <f t="shared" si="1"/>
        <v>0</v>
      </c>
      <c r="I18" s="6"/>
      <c r="J18" s="22">
        <f t="shared" si="2"/>
        <v>0</v>
      </c>
      <c r="K18" s="13">
        <v>5</v>
      </c>
      <c r="L18" s="7">
        <f t="shared" si="3"/>
        <v>281.25</v>
      </c>
      <c r="M18" s="6"/>
      <c r="N18" s="7">
        <f t="shared" si="4"/>
        <v>0</v>
      </c>
      <c r="O18" s="6"/>
      <c r="P18" s="7">
        <f>IF(O18=0,,(#REF!-O18)*#REF!*100/#REF!)</f>
        <v>0</v>
      </c>
      <c r="Q18" s="6">
        <v>5</v>
      </c>
      <c r="R18" s="7">
        <f t="shared" si="5"/>
        <v>268.08510638297872</v>
      </c>
      <c r="S18" s="6"/>
      <c r="T18" s="7">
        <f t="shared" si="6"/>
        <v>0</v>
      </c>
      <c r="U18" s="6"/>
      <c r="V18" s="7">
        <f>IF(U18=0,,(#REF!-U18)*#REF!*100/#REF!)</f>
        <v>0</v>
      </c>
      <c r="W18" s="6"/>
      <c r="X18" s="7">
        <f t="shared" si="7"/>
        <v>0</v>
      </c>
      <c r="Y18" s="8">
        <f t="shared" si="8"/>
        <v>549.33510638297867</v>
      </c>
      <c r="Z18" s="6">
        <f t="shared" si="9"/>
        <v>8</v>
      </c>
    </row>
    <row r="19" spans="1:26" x14ac:dyDescent="0.3">
      <c r="A19" s="20">
        <v>14</v>
      </c>
      <c r="B19" s="13" t="s">
        <v>267</v>
      </c>
      <c r="C19" s="13" t="s">
        <v>268</v>
      </c>
      <c r="D19" s="13" t="s">
        <v>131</v>
      </c>
      <c r="E19" s="23">
        <v>180</v>
      </c>
      <c r="F19" s="23">
        <f>IF(E19=0,,($E$9-E19)*$E$7*100/$E$9)</f>
        <v>270.99236641221376</v>
      </c>
      <c r="G19" s="23"/>
      <c r="H19" s="23">
        <f t="shared" si="1"/>
        <v>0</v>
      </c>
      <c r="I19" s="23"/>
      <c r="J19" s="23">
        <f t="shared" si="2"/>
        <v>0</v>
      </c>
      <c r="K19" s="23">
        <v>8</v>
      </c>
      <c r="L19" s="7">
        <f t="shared" si="3"/>
        <v>270</v>
      </c>
      <c r="M19" s="7"/>
      <c r="N19" s="7">
        <f t="shared" si="4"/>
        <v>0</v>
      </c>
      <c r="O19" s="7"/>
      <c r="P19" s="7">
        <f>IF(O19=0,,(#REF!-O19)*#REF!*100/#REF!)</f>
        <v>0</v>
      </c>
      <c r="Q19" s="7"/>
      <c r="R19" s="7">
        <f t="shared" si="5"/>
        <v>0</v>
      </c>
      <c r="S19" s="7"/>
      <c r="T19" s="7">
        <f t="shared" si="6"/>
        <v>0</v>
      </c>
      <c r="U19" s="7"/>
      <c r="V19" s="7">
        <f>IF(U19=0,,(#REF!-U19)*#REF!*100/#REF!)</f>
        <v>0</v>
      </c>
      <c r="W19" s="7"/>
      <c r="X19" s="7">
        <f t="shared" si="7"/>
        <v>0</v>
      </c>
      <c r="Y19" s="8">
        <f t="shared" si="8"/>
        <v>540.99236641221376</v>
      </c>
      <c r="Z19" s="6">
        <f t="shared" si="9"/>
        <v>9</v>
      </c>
    </row>
    <row r="20" spans="1:26" x14ac:dyDescent="0.3">
      <c r="A20" s="20">
        <v>15</v>
      </c>
      <c r="B20" s="21" t="s">
        <v>552</v>
      </c>
      <c r="C20" s="21" t="s">
        <v>207</v>
      </c>
      <c r="D20" s="21" t="s">
        <v>246</v>
      </c>
      <c r="E20" s="6"/>
      <c r="F20" s="21">
        <f t="shared" ref="F20:F37" si="10">IF(E20=0,,$E$9+1-E20)</f>
        <v>0</v>
      </c>
      <c r="G20" s="6"/>
      <c r="H20" s="22">
        <f t="shared" si="1"/>
        <v>0</v>
      </c>
      <c r="I20" s="6"/>
      <c r="J20" s="22">
        <f t="shared" si="2"/>
        <v>0</v>
      </c>
      <c r="K20" s="13">
        <v>12</v>
      </c>
      <c r="L20" s="7">
        <f t="shared" si="3"/>
        <v>255</v>
      </c>
      <c r="M20" s="6"/>
      <c r="N20" s="7">
        <f t="shared" si="4"/>
        <v>0</v>
      </c>
      <c r="O20" s="6"/>
      <c r="P20" s="7">
        <f>IF(O20=0,,(#REF!-O20)*#REF!*100/#REF!)</f>
        <v>0</v>
      </c>
      <c r="Q20" s="6">
        <v>10</v>
      </c>
      <c r="R20" s="7">
        <f t="shared" si="5"/>
        <v>236.17021276595744</v>
      </c>
      <c r="S20" s="6"/>
      <c r="T20" s="7">
        <f t="shared" si="6"/>
        <v>0</v>
      </c>
      <c r="U20" s="6"/>
      <c r="V20" s="7">
        <f>IF(U20=0,,(#REF!-U20)*#REF!*100/#REF!)</f>
        <v>0</v>
      </c>
      <c r="W20" s="6"/>
      <c r="X20" s="7">
        <f t="shared" si="7"/>
        <v>0</v>
      </c>
      <c r="Y20" s="8">
        <f t="shared" si="8"/>
        <v>491.17021276595744</v>
      </c>
      <c r="Z20" s="6">
        <f t="shared" si="9"/>
        <v>10</v>
      </c>
    </row>
    <row r="21" spans="1:26" x14ac:dyDescent="0.3">
      <c r="A21" s="20">
        <v>16</v>
      </c>
      <c r="B21" s="21" t="s">
        <v>551</v>
      </c>
      <c r="C21" s="21" t="s">
        <v>209</v>
      </c>
      <c r="D21" s="21" t="s">
        <v>131</v>
      </c>
      <c r="E21" s="6"/>
      <c r="F21" s="21">
        <f t="shared" si="10"/>
        <v>0</v>
      </c>
      <c r="G21" s="6"/>
      <c r="H21" s="22">
        <f t="shared" si="1"/>
        <v>0</v>
      </c>
      <c r="I21" s="6"/>
      <c r="J21" s="22">
        <f t="shared" si="2"/>
        <v>0</v>
      </c>
      <c r="K21" s="13">
        <v>10</v>
      </c>
      <c r="L21" s="7">
        <f t="shared" si="3"/>
        <v>262.5</v>
      </c>
      <c r="M21" s="6"/>
      <c r="N21" s="7">
        <f t="shared" si="4"/>
        <v>0</v>
      </c>
      <c r="O21" s="6"/>
      <c r="P21" s="7">
        <f>IF(O21=0,,(#REF!-O21)*#REF!*100/#REF!)</f>
        <v>0</v>
      </c>
      <c r="Q21" s="6">
        <v>12</v>
      </c>
      <c r="R21" s="7">
        <f t="shared" si="5"/>
        <v>223.40425531914894</v>
      </c>
      <c r="S21" s="6"/>
      <c r="T21" s="7">
        <f t="shared" si="6"/>
        <v>0</v>
      </c>
      <c r="U21" s="6"/>
      <c r="V21" s="7">
        <f>IF(U21=0,,(#REF!-U21)*#REF!*100/#REF!)</f>
        <v>0</v>
      </c>
      <c r="W21" s="6"/>
      <c r="X21" s="7">
        <f t="shared" si="7"/>
        <v>0</v>
      </c>
      <c r="Y21" s="8">
        <f t="shared" si="8"/>
        <v>485.90425531914894</v>
      </c>
      <c r="Z21" s="6">
        <f t="shared" si="9"/>
        <v>11</v>
      </c>
    </row>
    <row r="22" spans="1:26" x14ac:dyDescent="0.3">
      <c r="A22" s="20">
        <v>17</v>
      </c>
      <c r="B22" s="13" t="s">
        <v>441</v>
      </c>
      <c r="C22" s="13" t="s">
        <v>442</v>
      </c>
      <c r="D22" s="13" t="s">
        <v>408</v>
      </c>
      <c r="E22" s="13"/>
      <c r="F22" s="13">
        <f t="shared" si="10"/>
        <v>0</v>
      </c>
      <c r="G22" s="13">
        <v>13</v>
      </c>
      <c r="H22" s="23">
        <f t="shared" si="1"/>
        <v>135</v>
      </c>
      <c r="I22" s="13"/>
      <c r="J22" s="23">
        <f t="shared" si="2"/>
        <v>0</v>
      </c>
      <c r="K22" s="13">
        <v>23</v>
      </c>
      <c r="L22" s="7">
        <f t="shared" si="3"/>
        <v>213.75</v>
      </c>
      <c r="M22" s="6"/>
      <c r="N22" s="7">
        <f t="shared" si="4"/>
        <v>0</v>
      </c>
      <c r="O22" s="6"/>
      <c r="P22" s="7">
        <f>IF(O22=0,,(#REF!-O22)*#REF!*100/#REF!)</f>
        <v>0</v>
      </c>
      <c r="Q22" s="6">
        <v>26</v>
      </c>
      <c r="R22" s="7">
        <f t="shared" si="5"/>
        <v>134.04255319148936</v>
      </c>
      <c r="S22" s="6"/>
      <c r="T22" s="7">
        <f t="shared" si="6"/>
        <v>0</v>
      </c>
      <c r="U22" s="6"/>
      <c r="V22" s="7">
        <f>IF(U22=0,,(#REF!-U22)*#REF!*100/#REF!)</f>
        <v>0</v>
      </c>
      <c r="W22" s="6"/>
      <c r="X22" s="7">
        <f t="shared" si="7"/>
        <v>0</v>
      </c>
      <c r="Y22" s="8">
        <f t="shared" si="8"/>
        <v>482.79255319148933</v>
      </c>
      <c r="Z22" s="6">
        <f t="shared" si="9"/>
        <v>12</v>
      </c>
    </row>
    <row r="23" spans="1:26" x14ac:dyDescent="0.3">
      <c r="A23" s="20">
        <v>18</v>
      </c>
      <c r="B23" s="21" t="s">
        <v>556</v>
      </c>
      <c r="C23" s="21" t="s">
        <v>557</v>
      </c>
      <c r="D23" s="21" t="s">
        <v>558</v>
      </c>
      <c r="E23" s="6"/>
      <c r="F23" s="21">
        <f t="shared" si="10"/>
        <v>0</v>
      </c>
      <c r="G23" s="6"/>
      <c r="H23" s="21">
        <f>IF(G23=0,,$E$9+1-G23)</f>
        <v>0</v>
      </c>
      <c r="I23" s="6"/>
      <c r="J23" s="22">
        <f t="shared" si="2"/>
        <v>0</v>
      </c>
      <c r="K23" s="13">
        <v>20</v>
      </c>
      <c r="L23" s="7">
        <f t="shared" si="3"/>
        <v>225</v>
      </c>
      <c r="M23" s="6">
        <v>177</v>
      </c>
      <c r="N23" s="7">
        <f t="shared" si="4"/>
        <v>192.70833333333334</v>
      </c>
      <c r="O23" s="6"/>
      <c r="P23" s="7">
        <f>IF(O23=0,,(#REF!-O23)*#REF!*100/#REF!)</f>
        <v>0</v>
      </c>
      <c r="Q23" s="6">
        <v>37</v>
      </c>
      <c r="R23" s="7">
        <f t="shared" si="5"/>
        <v>63.829787234042556</v>
      </c>
      <c r="S23" s="6"/>
      <c r="T23" s="7">
        <f t="shared" si="6"/>
        <v>0</v>
      </c>
      <c r="U23" s="6"/>
      <c r="V23" s="7">
        <f>IF(U23=0,,(#REF!-U23)*#REF!*100/#REF!)</f>
        <v>0</v>
      </c>
      <c r="W23" s="6"/>
      <c r="X23" s="7">
        <f t="shared" si="7"/>
        <v>0</v>
      </c>
      <c r="Y23" s="8">
        <f t="shared" si="8"/>
        <v>481.53812056737593</v>
      </c>
      <c r="Z23" s="6">
        <f t="shared" si="9"/>
        <v>13</v>
      </c>
    </row>
    <row r="24" spans="1:26" x14ac:dyDescent="0.3">
      <c r="A24" s="20">
        <v>19</v>
      </c>
      <c r="B24" s="21" t="s">
        <v>559</v>
      </c>
      <c r="C24" s="21" t="s">
        <v>560</v>
      </c>
      <c r="D24" s="21" t="s">
        <v>561</v>
      </c>
      <c r="E24" s="6"/>
      <c r="F24" s="21">
        <f t="shared" si="10"/>
        <v>0</v>
      </c>
      <c r="G24" s="6"/>
      <c r="H24" s="21">
        <f>IF(G24=0,,$E$9+1-G24)</f>
        <v>0</v>
      </c>
      <c r="I24" s="6"/>
      <c r="J24" s="22">
        <f t="shared" si="2"/>
        <v>0</v>
      </c>
      <c r="K24" s="13">
        <v>24</v>
      </c>
      <c r="L24" s="7">
        <f t="shared" si="3"/>
        <v>210</v>
      </c>
      <c r="M24" s="6">
        <v>207</v>
      </c>
      <c r="N24" s="7">
        <f t="shared" si="4"/>
        <v>140.625</v>
      </c>
      <c r="O24" s="6"/>
      <c r="P24" s="7">
        <f>IF(O24=0,,(#REF!-O24)*#REF!*100/#REF!)</f>
        <v>0</v>
      </c>
      <c r="Q24" s="6">
        <v>29</v>
      </c>
      <c r="R24" s="7">
        <f t="shared" si="5"/>
        <v>114.8936170212766</v>
      </c>
      <c r="S24" s="6"/>
      <c r="T24" s="7">
        <f t="shared" si="6"/>
        <v>0</v>
      </c>
      <c r="U24" s="6"/>
      <c r="V24" s="7">
        <f>IF(U24=0,,(#REF!-U24)*#REF!*100/#REF!)</f>
        <v>0</v>
      </c>
      <c r="W24" s="6"/>
      <c r="X24" s="7">
        <f t="shared" si="7"/>
        <v>0</v>
      </c>
      <c r="Y24" s="8">
        <f t="shared" si="8"/>
        <v>465.51861702127661</v>
      </c>
      <c r="Z24" s="6">
        <f t="shared" si="9"/>
        <v>14</v>
      </c>
    </row>
    <row r="25" spans="1:26" x14ac:dyDescent="0.3">
      <c r="A25" s="20">
        <v>20</v>
      </c>
      <c r="B25" s="21" t="s">
        <v>554</v>
      </c>
      <c r="C25" s="21" t="s">
        <v>555</v>
      </c>
      <c r="D25" s="21" t="s">
        <v>246</v>
      </c>
      <c r="E25" s="6"/>
      <c r="F25" s="21">
        <f t="shared" si="10"/>
        <v>0</v>
      </c>
      <c r="G25" s="6"/>
      <c r="H25" s="22">
        <f t="shared" ref="H25:H30" si="11">IF(G25=0,,($G$9-G25)*$G$7*100/$G$9)</f>
        <v>0</v>
      </c>
      <c r="I25" s="6"/>
      <c r="J25" s="22">
        <f t="shared" si="2"/>
        <v>0</v>
      </c>
      <c r="K25" s="13">
        <v>19</v>
      </c>
      <c r="L25" s="7">
        <f t="shared" si="3"/>
        <v>228.75</v>
      </c>
      <c r="M25" s="6"/>
      <c r="N25" s="7">
        <f t="shared" si="4"/>
        <v>0</v>
      </c>
      <c r="O25" s="6"/>
      <c r="P25" s="7">
        <f>IF(O25=0,,(#REF!-O25)*#REF!*100/#REF!)</f>
        <v>0</v>
      </c>
      <c r="Q25" s="6">
        <v>17</v>
      </c>
      <c r="R25" s="7">
        <f t="shared" si="5"/>
        <v>191.48936170212767</v>
      </c>
      <c r="S25" s="6"/>
      <c r="T25" s="7">
        <f t="shared" si="6"/>
        <v>0</v>
      </c>
      <c r="U25" s="6"/>
      <c r="V25" s="7">
        <f>IF(U25=0,,(#REF!-U25)*#REF!*100/#REF!)</f>
        <v>0</v>
      </c>
      <c r="W25" s="6"/>
      <c r="X25" s="7">
        <f t="shared" si="7"/>
        <v>0</v>
      </c>
      <c r="Y25" s="8">
        <f t="shared" si="8"/>
        <v>420.23936170212767</v>
      </c>
      <c r="Z25" s="6">
        <f t="shared" si="9"/>
        <v>15</v>
      </c>
    </row>
    <row r="26" spans="1:26" x14ac:dyDescent="0.3">
      <c r="A26" s="20">
        <v>22</v>
      </c>
      <c r="B26" s="13" t="s">
        <v>445</v>
      </c>
      <c r="C26" s="13" t="s">
        <v>332</v>
      </c>
      <c r="D26" s="13" t="s">
        <v>446</v>
      </c>
      <c r="E26" s="13"/>
      <c r="F26" s="13">
        <f t="shared" si="10"/>
        <v>0</v>
      </c>
      <c r="G26" s="13">
        <v>27</v>
      </c>
      <c r="H26" s="23">
        <f t="shared" si="11"/>
        <v>65</v>
      </c>
      <c r="I26" s="13"/>
      <c r="J26" s="23">
        <f t="shared" si="2"/>
        <v>0</v>
      </c>
      <c r="K26" s="13"/>
      <c r="L26" s="7">
        <f t="shared" si="3"/>
        <v>0</v>
      </c>
      <c r="M26" s="6">
        <v>193</v>
      </c>
      <c r="N26" s="7">
        <f t="shared" si="4"/>
        <v>164.93055555555554</v>
      </c>
      <c r="O26" s="6"/>
      <c r="P26" s="7">
        <f>IF(O26=0,,(#REF!-O26)*#REF!*100/#REF!)</f>
        <v>0</v>
      </c>
      <c r="Q26" s="6">
        <v>20</v>
      </c>
      <c r="R26" s="7">
        <f t="shared" si="5"/>
        <v>172.34042553191489</v>
      </c>
      <c r="S26" s="6"/>
      <c r="T26" s="7">
        <f t="shared" si="6"/>
        <v>0</v>
      </c>
      <c r="U26" s="6"/>
      <c r="V26" s="7">
        <f>IF(U26=0,,(#REF!-U26)*#REF!*100/#REF!)</f>
        <v>0</v>
      </c>
      <c r="W26" s="6"/>
      <c r="X26" s="7">
        <f t="shared" si="7"/>
        <v>0</v>
      </c>
      <c r="Y26" s="8">
        <f t="shared" si="8"/>
        <v>402.27098108747043</v>
      </c>
      <c r="Z26" s="6">
        <f t="shared" si="9"/>
        <v>16</v>
      </c>
    </row>
    <row r="27" spans="1:26" x14ac:dyDescent="0.3">
      <c r="A27" s="20">
        <v>23</v>
      </c>
      <c r="B27" s="13" t="s">
        <v>562</v>
      </c>
      <c r="C27" s="21" t="s">
        <v>563</v>
      </c>
      <c r="D27" s="21" t="s">
        <v>131</v>
      </c>
      <c r="E27" s="6"/>
      <c r="F27" s="21">
        <f t="shared" si="10"/>
        <v>0</v>
      </c>
      <c r="G27" s="6"/>
      <c r="H27" s="22">
        <f t="shared" si="11"/>
        <v>0</v>
      </c>
      <c r="I27" s="6"/>
      <c r="J27" s="22">
        <f t="shared" si="2"/>
        <v>0</v>
      </c>
      <c r="K27" s="21">
        <v>34</v>
      </c>
      <c r="L27" s="7">
        <f t="shared" si="3"/>
        <v>172.5</v>
      </c>
      <c r="M27" s="6"/>
      <c r="N27" s="7">
        <f t="shared" si="4"/>
        <v>0</v>
      </c>
      <c r="O27" s="6"/>
      <c r="P27" s="7">
        <f>IF(O27=0,,(#REF!-O27)*#REF!*100/#REF!)</f>
        <v>0</v>
      </c>
      <c r="Q27" s="6">
        <v>21</v>
      </c>
      <c r="R27" s="7">
        <f t="shared" si="5"/>
        <v>165.95744680851064</v>
      </c>
      <c r="S27" s="6"/>
      <c r="T27" s="7">
        <f t="shared" si="6"/>
        <v>0</v>
      </c>
      <c r="U27" s="6"/>
      <c r="V27" s="7">
        <f>IF(U27=0,,(#REF!-U27)*#REF!*100/#REF!)</f>
        <v>0</v>
      </c>
      <c r="W27" s="6"/>
      <c r="X27" s="7">
        <f t="shared" si="7"/>
        <v>0</v>
      </c>
      <c r="Y27" s="8">
        <f t="shared" si="8"/>
        <v>338.45744680851067</v>
      </c>
      <c r="Z27" s="6">
        <f t="shared" si="9"/>
        <v>17</v>
      </c>
    </row>
    <row r="28" spans="1:26" x14ac:dyDescent="0.3">
      <c r="A28" s="20">
        <v>24</v>
      </c>
      <c r="B28" s="13" t="s">
        <v>272</v>
      </c>
      <c r="C28" s="13" t="s">
        <v>152</v>
      </c>
      <c r="D28" s="13" t="s">
        <v>273</v>
      </c>
      <c r="E28" s="13">
        <v>348</v>
      </c>
      <c r="F28" s="13">
        <f t="shared" si="10"/>
        <v>46</v>
      </c>
      <c r="G28" s="13"/>
      <c r="H28" s="23">
        <f t="shared" si="11"/>
        <v>0</v>
      </c>
      <c r="I28" s="13"/>
      <c r="J28" s="23">
        <f t="shared" si="2"/>
        <v>0</v>
      </c>
      <c r="K28" s="13"/>
      <c r="L28" s="7">
        <f t="shared" si="3"/>
        <v>0</v>
      </c>
      <c r="M28" s="6"/>
      <c r="N28" s="7">
        <f t="shared" si="4"/>
        <v>0</v>
      </c>
      <c r="O28" s="6"/>
      <c r="P28" s="7">
        <f>IF(O28=0,,(#REF!-O28)*#REF!*100/#REF!)</f>
        <v>0</v>
      </c>
      <c r="Q28" s="6">
        <v>3</v>
      </c>
      <c r="R28" s="7">
        <f t="shared" si="5"/>
        <v>280.85106382978722</v>
      </c>
      <c r="S28" s="6"/>
      <c r="T28" s="7">
        <f t="shared" si="6"/>
        <v>0</v>
      </c>
      <c r="U28" s="6"/>
      <c r="V28" s="7">
        <f>IF(U28=0,,(#REF!-U28)*#REF!*100/#REF!)</f>
        <v>0</v>
      </c>
      <c r="W28" s="6"/>
      <c r="X28" s="7">
        <f t="shared" si="7"/>
        <v>0</v>
      </c>
      <c r="Y28" s="8">
        <f t="shared" si="8"/>
        <v>326.85106382978722</v>
      </c>
      <c r="Z28" s="6">
        <f t="shared" si="9"/>
        <v>18</v>
      </c>
    </row>
    <row r="29" spans="1:26" x14ac:dyDescent="0.3">
      <c r="A29" s="20">
        <v>25</v>
      </c>
      <c r="B29" s="21" t="s">
        <v>149</v>
      </c>
      <c r="C29" s="21" t="s">
        <v>233</v>
      </c>
      <c r="D29" s="21" t="s">
        <v>131</v>
      </c>
      <c r="E29" s="6"/>
      <c r="F29" s="21">
        <f t="shared" si="10"/>
        <v>0</v>
      </c>
      <c r="G29" s="6"/>
      <c r="H29" s="22">
        <f t="shared" si="11"/>
        <v>0</v>
      </c>
      <c r="I29" s="6"/>
      <c r="J29" s="22">
        <f t="shared" si="2"/>
        <v>0</v>
      </c>
      <c r="K29" s="13">
        <v>2</v>
      </c>
      <c r="L29" s="7">
        <f t="shared" si="3"/>
        <v>292.5</v>
      </c>
      <c r="M29" s="6"/>
      <c r="N29" s="7">
        <f t="shared" si="4"/>
        <v>0</v>
      </c>
      <c r="O29" s="6"/>
      <c r="P29" s="7">
        <f>IF(O29=0,,(#REF!-O29)*#REF!*100/#REF!)</f>
        <v>0</v>
      </c>
      <c r="Q29" s="6"/>
      <c r="R29" s="7">
        <f t="shared" si="5"/>
        <v>0</v>
      </c>
      <c r="S29" s="6"/>
      <c r="T29" s="7">
        <f t="shared" si="6"/>
        <v>0</v>
      </c>
      <c r="U29" s="6"/>
      <c r="V29" s="7">
        <f>IF(U29=0,,(#REF!-U29)*#REF!*100/#REF!)</f>
        <v>0</v>
      </c>
      <c r="W29" s="6"/>
      <c r="X29" s="7">
        <f t="shared" si="7"/>
        <v>0</v>
      </c>
      <c r="Y29" s="8">
        <f t="shared" si="8"/>
        <v>292.5</v>
      </c>
      <c r="Z29" s="6">
        <f t="shared" si="9"/>
        <v>19</v>
      </c>
    </row>
    <row r="30" spans="1:26" x14ac:dyDescent="0.3">
      <c r="A30" s="20">
        <v>26</v>
      </c>
      <c r="B30" s="21" t="s">
        <v>567</v>
      </c>
      <c r="C30" s="6" t="s">
        <v>568</v>
      </c>
      <c r="D30" s="21" t="s">
        <v>246</v>
      </c>
      <c r="E30" s="6"/>
      <c r="F30" s="6">
        <f t="shared" si="10"/>
        <v>0</v>
      </c>
      <c r="G30" s="6"/>
      <c r="H30" s="7">
        <f t="shared" si="11"/>
        <v>0</v>
      </c>
      <c r="I30" s="6"/>
      <c r="J30" s="7">
        <f t="shared" si="2"/>
        <v>0</v>
      </c>
      <c r="K30" s="21">
        <v>42</v>
      </c>
      <c r="L30" s="7">
        <f t="shared" si="3"/>
        <v>142.5</v>
      </c>
      <c r="M30" s="6"/>
      <c r="N30" s="7">
        <f t="shared" si="4"/>
        <v>0</v>
      </c>
      <c r="O30" s="6"/>
      <c r="P30" s="7">
        <f>IF(O30=0,,(#REF!-O30)*#REF!*100/#REF!)</f>
        <v>0</v>
      </c>
      <c r="Q30" s="6">
        <v>24</v>
      </c>
      <c r="R30" s="7">
        <f t="shared" si="5"/>
        <v>146.80851063829786</v>
      </c>
      <c r="S30" s="6"/>
      <c r="T30" s="7">
        <f t="shared" si="6"/>
        <v>0</v>
      </c>
      <c r="U30" s="6"/>
      <c r="V30" s="7">
        <f>IF(U30=0,,(#REF!-U30)*#REF!*100/#REF!)</f>
        <v>0</v>
      </c>
      <c r="W30" s="6"/>
      <c r="X30" s="7">
        <f t="shared" si="7"/>
        <v>0</v>
      </c>
      <c r="Y30" s="8">
        <f t="shared" si="8"/>
        <v>289.30851063829789</v>
      </c>
      <c r="Z30" s="6">
        <f t="shared" si="9"/>
        <v>20</v>
      </c>
    </row>
    <row r="31" spans="1:26" x14ac:dyDescent="0.3">
      <c r="A31" s="19">
        <v>8</v>
      </c>
      <c r="B31" s="13" t="s">
        <v>802</v>
      </c>
      <c r="C31" s="13" t="s">
        <v>803</v>
      </c>
      <c r="D31" s="13" t="s">
        <v>131</v>
      </c>
      <c r="E31" s="6"/>
      <c r="F31" s="6">
        <f t="shared" si="10"/>
        <v>0</v>
      </c>
      <c r="G31" s="6"/>
      <c r="H31" s="6">
        <f>IF(G31=0,,$E$9+1-G31)</f>
        <v>0</v>
      </c>
      <c r="I31" s="6"/>
      <c r="J31" s="7">
        <f t="shared" si="2"/>
        <v>0</v>
      </c>
      <c r="K31" s="13"/>
      <c r="L31" s="7">
        <f t="shared" si="3"/>
        <v>0</v>
      </c>
      <c r="M31" s="6"/>
      <c r="N31" s="7">
        <f t="shared" si="4"/>
        <v>0</v>
      </c>
      <c r="O31" s="6"/>
      <c r="P31" s="7">
        <f>IF(O31=0,,(#REF!-O31)*#REF!*100/#REF!)</f>
        <v>0</v>
      </c>
      <c r="Q31" s="6">
        <v>3</v>
      </c>
      <c r="R31" s="7">
        <f t="shared" si="5"/>
        <v>280.85106382978722</v>
      </c>
      <c r="S31" s="6"/>
      <c r="T31" s="7">
        <f t="shared" si="6"/>
        <v>0</v>
      </c>
      <c r="U31" s="6"/>
      <c r="V31" s="7">
        <f>IF(U31=0,,(#REF!-U31)*#REF!*100/#REF!)</f>
        <v>0</v>
      </c>
      <c r="W31" s="6"/>
      <c r="X31" s="7">
        <f t="shared" si="7"/>
        <v>0</v>
      </c>
      <c r="Y31" s="8">
        <f t="shared" si="8"/>
        <v>280.85106382978722</v>
      </c>
      <c r="Z31" s="6">
        <f t="shared" si="9"/>
        <v>21</v>
      </c>
    </row>
    <row r="32" spans="1:26" x14ac:dyDescent="0.3">
      <c r="A32" s="20">
        <v>27</v>
      </c>
      <c r="B32" s="13" t="s">
        <v>579</v>
      </c>
      <c r="C32" s="13" t="s">
        <v>580</v>
      </c>
      <c r="D32" s="13" t="s">
        <v>446</v>
      </c>
      <c r="E32" s="6"/>
      <c r="F32" s="6">
        <f t="shared" si="10"/>
        <v>0</v>
      </c>
      <c r="G32" s="6"/>
      <c r="H32" s="7">
        <f t="shared" ref="H32:H37" si="12">IF(G32=0,,($G$9-G32)*$G$7*100/$G$9)</f>
        <v>0</v>
      </c>
      <c r="I32" s="6"/>
      <c r="J32" s="7">
        <f t="shared" si="2"/>
        <v>0</v>
      </c>
      <c r="K32" s="13">
        <v>53</v>
      </c>
      <c r="L32" s="7">
        <f t="shared" si="3"/>
        <v>101.25</v>
      </c>
      <c r="M32" s="6"/>
      <c r="N32" s="7">
        <f t="shared" si="4"/>
        <v>0</v>
      </c>
      <c r="O32" s="6"/>
      <c r="P32" s="7">
        <f>IF(O32=0,,(#REF!-O32)*#REF!*100/#REF!)</f>
        <v>0</v>
      </c>
      <c r="Q32" s="6">
        <v>19</v>
      </c>
      <c r="R32" s="7">
        <f t="shared" si="5"/>
        <v>178.72340425531914</v>
      </c>
      <c r="S32" s="6"/>
      <c r="T32" s="7">
        <f t="shared" si="6"/>
        <v>0</v>
      </c>
      <c r="U32" s="6"/>
      <c r="V32" s="7">
        <f>IF(U32=0,,(#REF!-U32)*#REF!*100/#REF!)</f>
        <v>0</v>
      </c>
      <c r="W32" s="6"/>
      <c r="X32" s="7">
        <f t="shared" si="7"/>
        <v>0</v>
      </c>
      <c r="Y32" s="8">
        <f t="shared" si="8"/>
        <v>279.97340425531911</v>
      </c>
      <c r="Z32" s="6">
        <f t="shared" si="9"/>
        <v>22</v>
      </c>
    </row>
    <row r="33" spans="1:26" x14ac:dyDescent="0.3">
      <c r="A33" s="20">
        <v>28</v>
      </c>
      <c r="B33" s="21" t="s">
        <v>566</v>
      </c>
      <c r="C33" s="21" t="s">
        <v>360</v>
      </c>
      <c r="D33" s="21" t="s">
        <v>278</v>
      </c>
      <c r="E33" s="6"/>
      <c r="F33" s="6">
        <f t="shared" si="10"/>
        <v>0</v>
      </c>
      <c r="G33" s="6"/>
      <c r="H33" s="7">
        <f t="shared" si="12"/>
        <v>0</v>
      </c>
      <c r="I33" s="6"/>
      <c r="J33" s="7">
        <f t="shared" si="2"/>
        <v>0</v>
      </c>
      <c r="K33" s="21">
        <v>41</v>
      </c>
      <c r="L33" s="7">
        <f t="shared" si="3"/>
        <v>146.25</v>
      </c>
      <c r="M33" s="6"/>
      <c r="N33" s="7">
        <f t="shared" si="4"/>
        <v>0</v>
      </c>
      <c r="O33" s="6"/>
      <c r="P33" s="7">
        <f>IF(O33=0,,(#REF!-O33)*#REF!*100/#REF!)</f>
        <v>0</v>
      </c>
      <c r="Q33" s="6">
        <v>27</v>
      </c>
      <c r="R33" s="7">
        <f t="shared" si="5"/>
        <v>127.65957446808511</v>
      </c>
      <c r="S33" s="6"/>
      <c r="T33" s="7">
        <f t="shared" si="6"/>
        <v>0</v>
      </c>
      <c r="U33" s="6"/>
      <c r="V33" s="7">
        <f>IF(U33=0,,(#REF!-U33)*#REF!*100/#REF!)</f>
        <v>0</v>
      </c>
      <c r="W33" s="6"/>
      <c r="X33" s="7">
        <f t="shared" si="7"/>
        <v>0</v>
      </c>
      <c r="Y33" s="8">
        <f t="shared" si="8"/>
        <v>273.90957446808511</v>
      </c>
      <c r="Z33" s="6">
        <f t="shared" si="9"/>
        <v>23</v>
      </c>
    </row>
    <row r="34" spans="1:26" x14ac:dyDescent="0.3">
      <c r="A34" s="19">
        <v>29</v>
      </c>
      <c r="B34" s="21" t="s">
        <v>547</v>
      </c>
      <c r="C34" s="21" t="s">
        <v>548</v>
      </c>
      <c r="D34" s="21" t="s">
        <v>131</v>
      </c>
      <c r="E34" s="6"/>
      <c r="F34" s="21">
        <f t="shared" si="10"/>
        <v>0</v>
      </c>
      <c r="G34" s="6"/>
      <c r="H34" s="22">
        <f t="shared" si="12"/>
        <v>0</v>
      </c>
      <c r="I34" s="6"/>
      <c r="J34" s="22">
        <f t="shared" si="2"/>
        <v>0</v>
      </c>
      <c r="K34" s="13">
        <v>7</v>
      </c>
      <c r="L34" s="7">
        <f t="shared" si="3"/>
        <v>273.75</v>
      </c>
      <c r="M34" s="6"/>
      <c r="N34" s="7">
        <f t="shared" si="4"/>
        <v>0</v>
      </c>
      <c r="O34" s="6"/>
      <c r="P34" s="7">
        <f>IF(O34=0,,(#REF!-O34)*#REF!*100/#REF!)</f>
        <v>0</v>
      </c>
      <c r="Q34" s="6"/>
      <c r="R34" s="7">
        <f t="shared" si="5"/>
        <v>0</v>
      </c>
      <c r="S34" s="6"/>
      <c r="T34" s="7">
        <f t="shared" si="6"/>
        <v>0</v>
      </c>
      <c r="U34" s="6"/>
      <c r="V34" s="7">
        <f>IF(U34=0,,(#REF!-U34)*#REF!*100/#REF!)</f>
        <v>0</v>
      </c>
      <c r="W34" s="6"/>
      <c r="X34" s="7">
        <f t="shared" si="7"/>
        <v>0</v>
      </c>
      <c r="Y34" s="8">
        <f t="shared" si="8"/>
        <v>273.75</v>
      </c>
      <c r="Z34" s="6">
        <f t="shared" si="9"/>
        <v>24</v>
      </c>
    </row>
    <row r="35" spans="1:26" x14ac:dyDescent="0.3">
      <c r="A35" s="20">
        <v>30</v>
      </c>
      <c r="B35" s="13" t="s">
        <v>270</v>
      </c>
      <c r="C35" s="13" t="s">
        <v>271</v>
      </c>
      <c r="D35" s="13" t="s">
        <v>264</v>
      </c>
      <c r="E35" s="13">
        <v>339</v>
      </c>
      <c r="F35" s="13">
        <f t="shared" si="10"/>
        <v>55</v>
      </c>
      <c r="G35" s="13"/>
      <c r="H35" s="23">
        <f t="shared" si="12"/>
        <v>0</v>
      </c>
      <c r="I35" s="13"/>
      <c r="J35" s="23">
        <f t="shared" si="2"/>
        <v>0</v>
      </c>
      <c r="K35" s="13"/>
      <c r="L35" s="7">
        <f t="shared" si="3"/>
        <v>0</v>
      </c>
      <c r="M35" s="6"/>
      <c r="N35" s="7">
        <f t="shared" si="4"/>
        <v>0</v>
      </c>
      <c r="O35" s="6"/>
      <c r="P35" s="7">
        <f>IF(O35=0,,(#REF!-O35)*#REF!*100/#REF!)</f>
        <v>0</v>
      </c>
      <c r="Q35" s="6">
        <v>13</v>
      </c>
      <c r="R35" s="7">
        <f t="shared" si="5"/>
        <v>217.02127659574469</v>
      </c>
      <c r="S35" s="6"/>
      <c r="T35" s="7">
        <f t="shared" si="6"/>
        <v>0</v>
      </c>
      <c r="U35" s="6"/>
      <c r="V35" s="7">
        <f>IF(U35=0,,(#REF!-U35)*#REF!*100/#REF!)</f>
        <v>0</v>
      </c>
      <c r="W35" s="6"/>
      <c r="X35" s="7">
        <f t="shared" si="7"/>
        <v>0</v>
      </c>
      <c r="Y35" s="8">
        <f t="shared" si="8"/>
        <v>272.02127659574467</v>
      </c>
      <c r="Z35" s="6">
        <f t="shared" si="9"/>
        <v>25</v>
      </c>
    </row>
    <row r="36" spans="1:26" x14ac:dyDescent="0.3">
      <c r="A36" s="19">
        <v>31</v>
      </c>
      <c r="B36" s="21" t="s">
        <v>549</v>
      </c>
      <c r="C36" s="21" t="s">
        <v>550</v>
      </c>
      <c r="D36" s="21" t="s">
        <v>246</v>
      </c>
      <c r="E36" s="6"/>
      <c r="F36" s="21">
        <f t="shared" si="10"/>
        <v>0</v>
      </c>
      <c r="G36" s="6"/>
      <c r="H36" s="22">
        <f t="shared" si="12"/>
        <v>0</v>
      </c>
      <c r="I36" s="6"/>
      <c r="J36" s="22">
        <f t="shared" si="2"/>
        <v>0</v>
      </c>
      <c r="K36" s="13">
        <v>9</v>
      </c>
      <c r="L36" s="7">
        <f t="shared" si="3"/>
        <v>266.25</v>
      </c>
      <c r="M36" s="6"/>
      <c r="N36" s="7">
        <f t="shared" si="4"/>
        <v>0</v>
      </c>
      <c r="O36" s="6"/>
      <c r="P36" s="7">
        <f>IF(O36=0,,(#REF!-O36)*#REF!*100/#REF!)</f>
        <v>0</v>
      </c>
      <c r="Q36" s="6"/>
      <c r="R36" s="7">
        <f t="shared" si="5"/>
        <v>0</v>
      </c>
      <c r="S36" s="6"/>
      <c r="T36" s="7">
        <f t="shared" si="6"/>
        <v>0</v>
      </c>
      <c r="U36" s="6"/>
      <c r="V36" s="7">
        <f>IF(U36=0,,(#REF!-U36)*#REF!*100/#REF!)</f>
        <v>0</v>
      </c>
      <c r="W36" s="6"/>
      <c r="X36" s="7">
        <f t="shared" si="7"/>
        <v>0</v>
      </c>
      <c r="Y36" s="8">
        <f t="shared" si="8"/>
        <v>266.25</v>
      </c>
      <c r="Z36" s="6">
        <f t="shared" si="9"/>
        <v>26</v>
      </c>
    </row>
    <row r="37" spans="1:26" x14ac:dyDescent="0.3">
      <c r="A37" s="19">
        <v>33</v>
      </c>
      <c r="B37" s="21" t="s">
        <v>564</v>
      </c>
      <c r="C37" s="21" t="s">
        <v>453</v>
      </c>
      <c r="D37" s="21" t="s">
        <v>408</v>
      </c>
      <c r="E37" s="6"/>
      <c r="F37" s="6">
        <f t="shared" si="10"/>
        <v>0</v>
      </c>
      <c r="G37" s="6"/>
      <c r="H37" s="22">
        <f t="shared" si="12"/>
        <v>0</v>
      </c>
      <c r="I37" s="6"/>
      <c r="J37" s="22">
        <f t="shared" si="2"/>
        <v>0</v>
      </c>
      <c r="K37" s="21">
        <v>36</v>
      </c>
      <c r="L37" s="7">
        <f t="shared" si="3"/>
        <v>165</v>
      </c>
      <c r="M37" s="6"/>
      <c r="N37" s="7">
        <f t="shared" si="4"/>
        <v>0</v>
      </c>
      <c r="O37" s="6"/>
      <c r="P37" s="7">
        <f>IF(O37=0,,(#REF!-O37)*#REF!*100/#REF!)</f>
        <v>0</v>
      </c>
      <c r="Q37" s="6">
        <v>32</v>
      </c>
      <c r="R37" s="7">
        <f t="shared" si="5"/>
        <v>95.744680851063833</v>
      </c>
      <c r="S37" s="6"/>
      <c r="T37" s="7">
        <f t="shared" si="6"/>
        <v>0</v>
      </c>
      <c r="U37" s="6"/>
      <c r="V37" s="7">
        <f>IF(U37=0,,(#REF!-U37)*#REF!*100/#REF!)</f>
        <v>0</v>
      </c>
      <c r="W37" s="6"/>
      <c r="X37" s="7">
        <f t="shared" si="7"/>
        <v>0</v>
      </c>
      <c r="Y37" s="8">
        <f t="shared" si="8"/>
        <v>260.74468085106383</v>
      </c>
      <c r="Z37" s="6">
        <f t="shared" si="9"/>
        <v>27</v>
      </c>
    </row>
    <row r="38" spans="1:26" x14ac:dyDescent="0.3">
      <c r="A38" s="19">
        <v>34</v>
      </c>
      <c r="B38" s="13" t="s">
        <v>804</v>
      </c>
      <c r="C38" s="13" t="s">
        <v>805</v>
      </c>
      <c r="D38" s="13" t="s">
        <v>446</v>
      </c>
      <c r="E38" s="6"/>
      <c r="F38" s="6"/>
      <c r="G38" s="6"/>
      <c r="H38" s="6"/>
      <c r="I38" s="6"/>
      <c r="J38" s="7"/>
      <c r="K38" s="13"/>
      <c r="L38" s="7"/>
      <c r="M38" s="6"/>
      <c r="N38" s="7"/>
      <c r="O38" s="6"/>
      <c r="P38" s="7"/>
      <c r="Q38" s="6">
        <v>8</v>
      </c>
      <c r="R38" s="7">
        <f t="shared" si="5"/>
        <v>248.93617021276594</v>
      </c>
      <c r="S38" s="6"/>
      <c r="T38" s="7">
        <f t="shared" si="6"/>
        <v>0</v>
      </c>
      <c r="U38" s="6"/>
      <c r="V38" s="7"/>
      <c r="W38" s="6"/>
      <c r="X38" s="7">
        <f t="shared" si="7"/>
        <v>0</v>
      </c>
      <c r="Y38" s="8">
        <f t="shared" si="8"/>
        <v>248.93617021276594</v>
      </c>
      <c r="Z38" s="6">
        <f t="shared" si="9"/>
        <v>28</v>
      </c>
    </row>
    <row r="39" spans="1:26" x14ac:dyDescent="0.3">
      <c r="A39" s="19">
        <v>35</v>
      </c>
      <c r="B39" s="13" t="s">
        <v>230</v>
      </c>
      <c r="C39" s="13" t="s">
        <v>453</v>
      </c>
      <c r="D39" s="13" t="s">
        <v>408</v>
      </c>
      <c r="E39" s="6"/>
      <c r="F39" s="6"/>
      <c r="G39" s="6"/>
      <c r="H39" s="6"/>
      <c r="I39" s="6"/>
      <c r="J39" s="7"/>
      <c r="K39" s="13"/>
      <c r="L39" s="7"/>
      <c r="M39" s="6"/>
      <c r="N39" s="7"/>
      <c r="O39" s="6"/>
      <c r="P39" s="7"/>
      <c r="Q39" s="6">
        <v>11</v>
      </c>
      <c r="R39" s="7">
        <f t="shared" si="5"/>
        <v>229.78723404255319</v>
      </c>
      <c r="S39" s="6"/>
      <c r="T39" s="7">
        <f t="shared" si="6"/>
        <v>0</v>
      </c>
      <c r="U39" s="6"/>
      <c r="V39" s="7"/>
      <c r="W39" s="6"/>
      <c r="X39" s="7">
        <f t="shared" si="7"/>
        <v>0</v>
      </c>
      <c r="Y39" s="8">
        <f t="shared" si="8"/>
        <v>229.78723404255319</v>
      </c>
      <c r="Z39" s="6">
        <f t="shared" si="9"/>
        <v>29</v>
      </c>
    </row>
    <row r="40" spans="1:26" x14ac:dyDescent="0.3">
      <c r="A40" s="19">
        <v>36</v>
      </c>
      <c r="B40" s="13" t="s">
        <v>806</v>
      </c>
      <c r="C40" s="13" t="s">
        <v>807</v>
      </c>
      <c r="D40" s="13" t="s">
        <v>264</v>
      </c>
      <c r="E40" s="6"/>
      <c r="F40" s="6"/>
      <c r="G40" s="6"/>
      <c r="H40" s="6"/>
      <c r="I40" s="6"/>
      <c r="J40" s="7"/>
      <c r="K40" s="13"/>
      <c r="L40" s="7"/>
      <c r="M40" s="6"/>
      <c r="N40" s="7"/>
      <c r="O40" s="6"/>
      <c r="P40" s="7"/>
      <c r="Q40" s="6">
        <v>15</v>
      </c>
      <c r="R40" s="7">
        <f t="shared" si="5"/>
        <v>204.25531914893617</v>
      </c>
      <c r="S40" s="6"/>
      <c r="T40" s="7">
        <f t="shared" si="6"/>
        <v>0</v>
      </c>
      <c r="U40" s="6"/>
      <c r="V40" s="7"/>
      <c r="W40" s="6"/>
      <c r="X40" s="7">
        <f t="shared" si="7"/>
        <v>0</v>
      </c>
      <c r="Y40" s="8">
        <f t="shared" si="8"/>
        <v>204.25531914893617</v>
      </c>
      <c r="Z40" s="6">
        <f t="shared" si="9"/>
        <v>30</v>
      </c>
    </row>
    <row r="41" spans="1:26" x14ac:dyDescent="0.3">
      <c r="A41" s="19">
        <v>37</v>
      </c>
      <c r="B41" s="13" t="s">
        <v>578</v>
      </c>
      <c r="C41" s="13" t="s">
        <v>144</v>
      </c>
      <c r="D41" s="13" t="s">
        <v>278</v>
      </c>
      <c r="E41" s="6"/>
      <c r="F41" s="6">
        <f>IF(E41=0,,$E$9+1-E41)</f>
        <v>0</v>
      </c>
      <c r="G41" s="6"/>
      <c r="H41" s="7">
        <f>IF(G41=0,,($G$9-G41)*$G$7*100/$G$9)</f>
        <v>0</v>
      </c>
      <c r="I41" s="6"/>
      <c r="J41" s="7">
        <f>IF(I41=0,,($I$9-I41)*$I$7*100/$I$9)</f>
        <v>0</v>
      </c>
      <c r="K41" s="13">
        <v>49</v>
      </c>
      <c r="L41" s="7">
        <f>IF(K41=0,,($K$9-K41)*$K$7*100/$K$9)</f>
        <v>116.25</v>
      </c>
      <c r="M41" s="6"/>
      <c r="N41" s="7">
        <f>IF(M41=0,,($M$9-M41)*$M$7*100/$M$9)</f>
        <v>0</v>
      </c>
      <c r="O41" s="6"/>
      <c r="P41" s="7">
        <f>IF(O41=0,,(#REF!-O41)*#REF!*100/#REF!)</f>
        <v>0</v>
      </c>
      <c r="Q41" s="6">
        <v>34</v>
      </c>
      <c r="R41" s="7">
        <f t="shared" si="5"/>
        <v>82.978723404255319</v>
      </c>
      <c r="S41" s="6"/>
      <c r="T41" s="7">
        <f t="shared" si="6"/>
        <v>0</v>
      </c>
      <c r="U41" s="6"/>
      <c r="V41" s="7">
        <f>IF(U41=0,,(#REF!-U41)*#REF!*100/#REF!)</f>
        <v>0</v>
      </c>
      <c r="W41" s="6"/>
      <c r="X41" s="7">
        <f t="shared" si="7"/>
        <v>0</v>
      </c>
      <c r="Y41" s="8">
        <f t="shared" si="8"/>
        <v>199.22872340425533</v>
      </c>
      <c r="Z41" s="6">
        <f t="shared" si="9"/>
        <v>31</v>
      </c>
    </row>
    <row r="42" spans="1:26" x14ac:dyDescent="0.3">
      <c r="A42" s="19">
        <v>38</v>
      </c>
      <c r="B42" s="13" t="s">
        <v>808</v>
      </c>
      <c r="C42" s="13" t="s">
        <v>809</v>
      </c>
      <c r="D42" s="13" t="s">
        <v>264</v>
      </c>
      <c r="E42" s="6"/>
      <c r="F42" s="6"/>
      <c r="G42" s="6"/>
      <c r="H42" s="6"/>
      <c r="I42" s="6"/>
      <c r="J42" s="7"/>
      <c r="K42" s="13"/>
      <c r="L42" s="7"/>
      <c r="M42" s="6"/>
      <c r="N42" s="7"/>
      <c r="O42" s="6"/>
      <c r="P42" s="7"/>
      <c r="Q42" s="6">
        <v>16</v>
      </c>
      <c r="R42" s="7">
        <f t="shared" si="5"/>
        <v>197.87234042553192</v>
      </c>
      <c r="S42" s="6"/>
      <c r="T42" s="7">
        <f t="shared" si="6"/>
        <v>0</v>
      </c>
      <c r="U42" s="6"/>
      <c r="V42" s="7"/>
      <c r="W42" s="6"/>
      <c r="X42" s="7">
        <f t="shared" si="7"/>
        <v>0</v>
      </c>
      <c r="Y42" s="8">
        <f t="shared" si="8"/>
        <v>197.87234042553192</v>
      </c>
      <c r="Z42" s="6">
        <f t="shared" si="9"/>
        <v>32</v>
      </c>
    </row>
    <row r="43" spans="1:26" x14ac:dyDescent="0.3">
      <c r="A43" s="19">
        <v>39</v>
      </c>
      <c r="B43" s="13" t="s">
        <v>810</v>
      </c>
      <c r="C43" s="13" t="s">
        <v>811</v>
      </c>
      <c r="D43" s="13" t="s">
        <v>408</v>
      </c>
      <c r="E43" s="6"/>
      <c r="F43" s="6"/>
      <c r="G43" s="6"/>
      <c r="H43" s="6"/>
      <c r="I43" s="6"/>
      <c r="J43" s="7"/>
      <c r="K43" s="13"/>
      <c r="L43" s="7"/>
      <c r="M43" s="6"/>
      <c r="N43" s="7"/>
      <c r="O43" s="6"/>
      <c r="P43" s="7"/>
      <c r="Q43" s="6">
        <v>18</v>
      </c>
      <c r="R43" s="7">
        <f t="shared" ref="R43:R74" si="13">IF(Q43=0,,($Q$9-Q43)*$Q$7*100/$Q$9)</f>
        <v>185.10638297872342</v>
      </c>
      <c r="S43" s="6"/>
      <c r="T43" s="7">
        <f t="shared" ref="T43:T74" si="14">IF(S43=0,,($S$9-S43)*$S$7*100/$S$9)</f>
        <v>0</v>
      </c>
      <c r="U43" s="6"/>
      <c r="V43" s="7"/>
      <c r="W43" s="6"/>
      <c r="X43" s="7">
        <f t="shared" ref="X43:X74" si="15">IF(W43=0,,($W$9-W43)*$W$7*100/$W$9)</f>
        <v>0</v>
      </c>
      <c r="Y43" s="8">
        <f t="shared" ref="Y43:Y74" si="16">SUM(F43,H43,L43,J43,,N43,P43,R43,T43,V43,X43)</f>
        <v>185.10638297872342</v>
      </c>
      <c r="Z43" s="6">
        <f t="shared" ref="Z43:Z82" si="17">ROW(B43)-10</f>
        <v>33</v>
      </c>
    </row>
    <row r="44" spans="1:26" x14ac:dyDescent="0.3">
      <c r="A44" s="19">
        <v>40</v>
      </c>
      <c r="B44" s="13" t="s">
        <v>269</v>
      </c>
      <c r="C44" s="13" t="s">
        <v>152</v>
      </c>
      <c r="D44" s="13" t="s">
        <v>131</v>
      </c>
      <c r="E44" s="13">
        <v>291</v>
      </c>
      <c r="F44" s="13">
        <f>IF(E44=0,,$E$9+1-E44)</f>
        <v>103</v>
      </c>
      <c r="G44" s="13"/>
      <c r="H44" s="23">
        <f>IF(G44=0,,($G$9-G44)*$G$7*100/$G$9)</f>
        <v>0</v>
      </c>
      <c r="I44" s="13">
        <v>186</v>
      </c>
      <c r="J44" s="23">
        <f>IF(I44=0,,($I$9-I44)*$I$7*100/$I$9)</f>
        <v>57.142857142857146</v>
      </c>
      <c r="K44" s="13"/>
      <c r="L44" s="7">
        <f>IF(K44=0,,($K$9-K44)*$K$7*100/$K$9)</f>
        <v>0</v>
      </c>
      <c r="M44" s="6"/>
      <c r="N44" s="7">
        <f>IF(M44=0,,($M$9-M44)*$M$7*100/$M$9)</f>
        <v>0</v>
      </c>
      <c r="O44" s="6"/>
      <c r="P44" s="7">
        <f>IF(O44=0,,(#REF!-O44)*#REF!*100/#REF!)</f>
        <v>0</v>
      </c>
      <c r="Q44" s="6"/>
      <c r="R44" s="7">
        <f t="shared" si="13"/>
        <v>0</v>
      </c>
      <c r="S44" s="6"/>
      <c r="T44" s="7">
        <f t="shared" si="14"/>
        <v>0</v>
      </c>
      <c r="U44" s="6"/>
      <c r="V44" s="7">
        <f>IF(U44=0,,(#REF!-U44)*#REF!*100/#REF!)</f>
        <v>0</v>
      </c>
      <c r="W44" s="6"/>
      <c r="X44" s="7">
        <f t="shared" si="15"/>
        <v>0</v>
      </c>
      <c r="Y44" s="8">
        <f t="shared" si="16"/>
        <v>160.14285714285714</v>
      </c>
      <c r="Z44" s="6">
        <f t="shared" si="17"/>
        <v>34</v>
      </c>
    </row>
    <row r="45" spans="1:26" x14ac:dyDescent="0.3">
      <c r="A45" s="19">
        <v>41</v>
      </c>
      <c r="B45" s="21" t="s">
        <v>565</v>
      </c>
      <c r="C45" s="21" t="s">
        <v>203</v>
      </c>
      <c r="D45" s="13" t="s">
        <v>408</v>
      </c>
      <c r="E45" s="6"/>
      <c r="F45" s="6">
        <f>IF(E45=0,,$E$9+1-E45)</f>
        <v>0</v>
      </c>
      <c r="G45" s="6"/>
      <c r="H45" s="7">
        <f>IF(G45=0,,($G$9-G45)*$G$7*100/$G$9)</f>
        <v>0</v>
      </c>
      <c r="I45" s="6"/>
      <c r="J45" s="7">
        <f>IF(I45=0,,($I$9-I45)*$I$7*100/$I$9)</f>
        <v>0</v>
      </c>
      <c r="K45" s="21">
        <v>38</v>
      </c>
      <c r="L45" s="7">
        <f>IF(K45=0,,($K$9-K45)*$K$7*100/$K$9)</f>
        <v>157.5</v>
      </c>
      <c r="M45" s="6"/>
      <c r="N45" s="7">
        <f>IF(M45=0,,($M$9-M45)*$M$7*100/$M$9)</f>
        <v>0</v>
      </c>
      <c r="O45" s="6"/>
      <c r="P45" s="7">
        <f>IF(O45=0,,(#REF!-O45)*#REF!*100/#REF!)</f>
        <v>0</v>
      </c>
      <c r="Q45" s="6"/>
      <c r="R45" s="7">
        <f t="shared" si="13"/>
        <v>0</v>
      </c>
      <c r="S45" s="6"/>
      <c r="T45" s="7">
        <f t="shared" si="14"/>
        <v>0</v>
      </c>
      <c r="U45" s="6"/>
      <c r="V45" s="7">
        <f>IF(U45=0,,(#REF!-U45)*#REF!*100/#REF!)</f>
        <v>0</v>
      </c>
      <c r="W45" s="6"/>
      <c r="X45" s="7">
        <f t="shared" si="15"/>
        <v>0</v>
      </c>
      <c r="Y45" s="8">
        <f t="shared" si="16"/>
        <v>157.5</v>
      </c>
      <c r="Z45" s="6">
        <f t="shared" si="17"/>
        <v>35</v>
      </c>
    </row>
    <row r="46" spans="1:26" x14ac:dyDescent="0.3">
      <c r="A46" s="19">
        <v>10</v>
      </c>
      <c r="B46" s="13" t="s">
        <v>763</v>
      </c>
      <c r="C46" s="13" t="s">
        <v>148</v>
      </c>
      <c r="D46" s="13" t="s">
        <v>561</v>
      </c>
      <c r="E46" s="6"/>
      <c r="F46" s="6"/>
      <c r="G46" s="6"/>
      <c r="H46" s="6"/>
      <c r="I46" s="6"/>
      <c r="J46" s="7"/>
      <c r="K46" s="13"/>
      <c r="L46" s="7"/>
      <c r="M46" s="6"/>
      <c r="N46" s="7"/>
      <c r="O46" s="6"/>
      <c r="P46" s="7"/>
      <c r="Q46" s="6">
        <v>23</v>
      </c>
      <c r="R46" s="7">
        <f t="shared" si="13"/>
        <v>153.19148936170214</v>
      </c>
      <c r="S46" s="6"/>
      <c r="T46" s="7">
        <f t="shared" si="14"/>
        <v>0</v>
      </c>
      <c r="U46" s="6"/>
      <c r="V46" s="7"/>
      <c r="W46" s="6"/>
      <c r="X46" s="7">
        <f t="shared" si="15"/>
        <v>0</v>
      </c>
      <c r="Y46" s="8">
        <f t="shared" si="16"/>
        <v>153.19148936170214</v>
      </c>
      <c r="Z46" s="6">
        <f t="shared" si="17"/>
        <v>36</v>
      </c>
    </row>
    <row r="47" spans="1:26" x14ac:dyDescent="0.3">
      <c r="A47" s="19">
        <v>42</v>
      </c>
      <c r="B47" s="13" t="s">
        <v>603</v>
      </c>
      <c r="C47" s="13" t="s">
        <v>604</v>
      </c>
      <c r="D47" s="13" t="s">
        <v>264</v>
      </c>
      <c r="E47" s="6"/>
      <c r="F47" s="6">
        <f t="shared" ref="F47:F52" si="18">IF(E47=0,,$E$9+1-E47)</f>
        <v>0</v>
      </c>
      <c r="G47" s="6"/>
      <c r="H47" s="6">
        <f>IF(G47=0,,$E$9+1-G47)</f>
        <v>0</v>
      </c>
      <c r="I47" s="6"/>
      <c r="J47" s="7">
        <f t="shared" ref="J47:J52" si="19">IF(I47=0,,($I$9-I47)*$I$7*100/$I$9)</f>
        <v>0</v>
      </c>
      <c r="K47" s="13">
        <v>80</v>
      </c>
      <c r="L47" s="7">
        <f t="shared" ref="L47:L52" si="20">IF(K47=0,,($K$9-K47)*$K$7*100/$K$9)</f>
        <v>0</v>
      </c>
      <c r="M47" s="6"/>
      <c r="N47" s="7">
        <f t="shared" ref="N47:N52" si="21">IF(M47=0,,($M$9-M47)*$M$7*100/$M$9)</f>
        <v>0</v>
      </c>
      <c r="O47" s="6"/>
      <c r="P47" s="7">
        <f>IF(O47=0,,(#REF!-O47)*#REF!*100/#REF!)</f>
        <v>0</v>
      </c>
      <c r="Q47" s="6">
        <v>25</v>
      </c>
      <c r="R47" s="7">
        <f t="shared" si="13"/>
        <v>140.42553191489361</v>
      </c>
      <c r="S47" s="6"/>
      <c r="T47" s="7">
        <f t="shared" si="14"/>
        <v>0</v>
      </c>
      <c r="U47" s="6"/>
      <c r="V47" s="7">
        <f>IF(U47=0,,(#REF!-U47)*#REF!*100/#REF!)</f>
        <v>0</v>
      </c>
      <c r="W47" s="6"/>
      <c r="X47" s="7">
        <f t="shared" si="15"/>
        <v>0</v>
      </c>
      <c r="Y47" s="8">
        <f t="shared" si="16"/>
        <v>140.42553191489361</v>
      </c>
      <c r="Z47" s="6">
        <f t="shared" si="17"/>
        <v>37</v>
      </c>
    </row>
    <row r="48" spans="1:26" x14ac:dyDescent="0.3">
      <c r="A48" s="19">
        <v>43</v>
      </c>
      <c r="B48" s="13" t="s">
        <v>569</v>
      </c>
      <c r="C48" s="13" t="s">
        <v>209</v>
      </c>
      <c r="D48" s="13" t="s">
        <v>278</v>
      </c>
      <c r="E48" s="6"/>
      <c r="F48" s="6">
        <f t="shared" si="18"/>
        <v>0</v>
      </c>
      <c r="G48" s="6"/>
      <c r="H48" s="7">
        <f>IF(G48=0,,($G$9-G48)*$G$7*100/$G$9)</f>
        <v>0</v>
      </c>
      <c r="I48" s="6"/>
      <c r="J48" s="7">
        <f t="shared" si="19"/>
        <v>0</v>
      </c>
      <c r="K48" s="13">
        <v>43</v>
      </c>
      <c r="L48" s="7">
        <f t="shared" si="20"/>
        <v>138.75</v>
      </c>
      <c r="M48" s="6"/>
      <c r="N48" s="7">
        <f t="shared" si="21"/>
        <v>0</v>
      </c>
      <c r="O48" s="6"/>
      <c r="P48" s="7">
        <f>IF(O48=0,,(#REF!-O48)*#REF!*100/#REF!)</f>
        <v>0</v>
      </c>
      <c r="Q48" s="6"/>
      <c r="R48" s="7">
        <f t="shared" si="13"/>
        <v>0</v>
      </c>
      <c r="S48" s="6"/>
      <c r="T48" s="7">
        <f t="shared" si="14"/>
        <v>0</v>
      </c>
      <c r="U48" s="6"/>
      <c r="V48" s="7">
        <f>IF(U48=0,,(#REF!-U48)*#REF!*100/#REF!)</f>
        <v>0</v>
      </c>
      <c r="W48" s="6"/>
      <c r="X48" s="7">
        <f t="shared" si="15"/>
        <v>0</v>
      </c>
      <c r="Y48" s="8">
        <f t="shared" si="16"/>
        <v>138.75</v>
      </c>
      <c r="Z48" s="6">
        <f t="shared" si="17"/>
        <v>38</v>
      </c>
    </row>
    <row r="49" spans="1:26" x14ac:dyDescent="0.3">
      <c r="A49" s="19">
        <v>11</v>
      </c>
      <c r="B49" s="13" t="s">
        <v>570</v>
      </c>
      <c r="C49" s="13" t="s">
        <v>571</v>
      </c>
      <c r="D49" s="13" t="s">
        <v>131</v>
      </c>
      <c r="E49" s="6"/>
      <c r="F49" s="6">
        <f t="shared" si="18"/>
        <v>0</v>
      </c>
      <c r="G49" s="6"/>
      <c r="H49" s="7">
        <f>IF(G49=0,,($G$9-G49)*$G$7*100/$G$9)</f>
        <v>0</v>
      </c>
      <c r="I49" s="6"/>
      <c r="J49" s="7">
        <f t="shared" si="19"/>
        <v>0</v>
      </c>
      <c r="K49" s="13">
        <v>44</v>
      </c>
      <c r="L49" s="7">
        <f t="shared" si="20"/>
        <v>135</v>
      </c>
      <c r="M49" s="6"/>
      <c r="N49" s="7">
        <f t="shared" si="21"/>
        <v>0</v>
      </c>
      <c r="O49" s="6"/>
      <c r="P49" s="7">
        <f>IF(O49=0,,(#REF!-O49)*#REF!*100/#REF!)</f>
        <v>0</v>
      </c>
      <c r="Q49" s="6"/>
      <c r="R49" s="7">
        <f t="shared" si="13"/>
        <v>0</v>
      </c>
      <c r="S49" s="6"/>
      <c r="T49" s="7">
        <f t="shared" si="14"/>
        <v>0</v>
      </c>
      <c r="U49" s="6"/>
      <c r="V49" s="7">
        <f>IF(U49=0,,(#REF!-U49)*#REF!*100/#REF!)</f>
        <v>0</v>
      </c>
      <c r="W49" s="6"/>
      <c r="X49" s="7">
        <f t="shared" si="15"/>
        <v>0</v>
      </c>
      <c r="Y49" s="8">
        <f t="shared" si="16"/>
        <v>135</v>
      </c>
      <c r="Z49" s="6">
        <f t="shared" si="17"/>
        <v>39</v>
      </c>
    </row>
    <row r="50" spans="1:26" x14ac:dyDescent="0.3">
      <c r="A50" s="19">
        <v>44</v>
      </c>
      <c r="B50" s="13" t="s">
        <v>572</v>
      </c>
      <c r="C50" s="13" t="s">
        <v>288</v>
      </c>
      <c r="D50" s="13" t="s">
        <v>278</v>
      </c>
      <c r="E50" s="6"/>
      <c r="F50" s="6">
        <f t="shared" si="18"/>
        <v>0</v>
      </c>
      <c r="G50" s="6"/>
      <c r="H50" s="7">
        <f>IF(G50=0,,($G$9-G50)*$G$7*100/$G$9)</f>
        <v>0</v>
      </c>
      <c r="I50" s="6"/>
      <c r="J50" s="7">
        <f t="shared" si="19"/>
        <v>0</v>
      </c>
      <c r="K50" s="13">
        <v>45</v>
      </c>
      <c r="L50" s="7">
        <f t="shared" si="20"/>
        <v>131.25</v>
      </c>
      <c r="M50" s="6"/>
      <c r="N50" s="7">
        <f t="shared" si="21"/>
        <v>0</v>
      </c>
      <c r="O50" s="6"/>
      <c r="P50" s="7">
        <f>IF(O50=0,,(#REF!-O50)*#REF!*100/#REF!)</f>
        <v>0</v>
      </c>
      <c r="Q50" s="6"/>
      <c r="R50" s="7">
        <f t="shared" si="13"/>
        <v>0</v>
      </c>
      <c r="S50" s="6"/>
      <c r="T50" s="7">
        <f t="shared" si="14"/>
        <v>0</v>
      </c>
      <c r="U50" s="6"/>
      <c r="V50" s="7">
        <f>IF(U50=0,,(#REF!-U50)*#REF!*100/#REF!)</f>
        <v>0</v>
      </c>
      <c r="W50" s="6"/>
      <c r="X50" s="7">
        <f t="shared" si="15"/>
        <v>0</v>
      </c>
      <c r="Y50" s="8">
        <f t="shared" si="16"/>
        <v>131.25</v>
      </c>
      <c r="Z50" s="6">
        <f t="shared" si="17"/>
        <v>40</v>
      </c>
    </row>
    <row r="51" spans="1:26" x14ac:dyDescent="0.3">
      <c r="A51" s="19">
        <v>45</v>
      </c>
      <c r="B51" s="13" t="s">
        <v>573</v>
      </c>
      <c r="C51" s="13" t="s">
        <v>574</v>
      </c>
      <c r="D51" s="13" t="s">
        <v>278</v>
      </c>
      <c r="E51" s="6"/>
      <c r="F51" s="6">
        <f t="shared" si="18"/>
        <v>0</v>
      </c>
      <c r="G51" s="6"/>
      <c r="H51" s="6">
        <f>IF(G51=0,,$E$9+1-G51)</f>
        <v>0</v>
      </c>
      <c r="I51" s="6"/>
      <c r="J51" s="7">
        <f t="shared" si="19"/>
        <v>0</v>
      </c>
      <c r="K51" s="13">
        <v>46</v>
      </c>
      <c r="L51" s="7">
        <f t="shared" si="20"/>
        <v>127.5</v>
      </c>
      <c r="M51" s="6"/>
      <c r="N51" s="7">
        <f t="shared" si="21"/>
        <v>0</v>
      </c>
      <c r="O51" s="6"/>
      <c r="P51" s="7">
        <f>IF(O51=0,,(#REF!-O51)*#REF!*100/#REF!)</f>
        <v>0</v>
      </c>
      <c r="Q51" s="6"/>
      <c r="R51" s="7">
        <f t="shared" si="13"/>
        <v>0</v>
      </c>
      <c r="S51" s="6"/>
      <c r="T51" s="7">
        <f t="shared" si="14"/>
        <v>0</v>
      </c>
      <c r="U51" s="6"/>
      <c r="V51" s="7">
        <f>IF(U51=0,,(#REF!-U51)*#REF!*100/#REF!)</f>
        <v>0</v>
      </c>
      <c r="W51" s="6"/>
      <c r="X51" s="7">
        <f t="shared" si="15"/>
        <v>0</v>
      </c>
      <c r="Y51" s="8">
        <f t="shared" si="16"/>
        <v>127.5</v>
      </c>
      <c r="Z51" s="6">
        <f t="shared" si="17"/>
        <v>41</v>
      </c>
    </row>
    <row r="52" spans="1:26" x14ac:dyDescent="0.3">
      <c r="A52" s="19">
        <v>12</v>
      </c>
      <c r="B52" s="13" t="s">
        <v>575</v>
      </c>
      <c r="C52" s="13" t="s">
        <v>576</v>
      </c>
      <c r="D52" s="13" t="s">
        <v>278</v>
      </c>
      <c r="E52" s="6"/>
      <c r="F52" s="6">
        <f t="shared" si="18"/>
        <v>0</v>
      </c>
      <c r="G52" s="6"/>
      <c r="H52" s="6">
        <f>IF(G52=0,,$E$9+1-G52)</f>
        <v>0</v>
      </c>
      <c r="I52" s="6"/>
      <c r="J52" s="7">
        <f t="shared" si="19"/>
        <v>0</v>
      </c>
      <c r="K52" s="13">
        <v>47</v>
      </c>
      <c r="L52" s="7">
        <f t="shared" si="20"/>
        <v>123.75</v>
      </c>
      <c r="M52" s="6"/>
      <c r="N52" s="7">
        <f t="shared" si="21"/>
        <v>0</v>
      </c>
      <c r="O52" s="6"/>
      <c r="P52" s="7">
        <f>IF(O52=0,,(#REF!-O52)*#REF!*100/#REF!)</f>
        <v>0</v>
      </c>
      <c r="Q52" s="6"/>
      <c r="R52" s="7">
        <f t="shared" si="13"/>
        <v>0</v>
      </c>
      <c r="S52" s="6"/>
      <c r="T52" s="7">
        <f t="shared" si="14"/>
        <v>0</v>
      </c>
      <c r="U52" s="6"/>
      <c r="V52" s="7">
        <f>IF(U52=0,,(#REF!-U52)*#REF!*100/#REF!)</f>
        <v>0</v>
      </c>
      <c r="W52" s="6"/>
      <c r="X52" s="7">
        <f t="shared" si="15"/>
        <v>0</v>
      </c>
      <c r="Y52" s="8">
        <f t="shared" si="16"/>
        <v>123.75</v>
      </c>
      <c r="Z52" s="6">
        <f t="shared" si="17"/>
        <v>42</v>
      </c>
    </row>
    <row r="53" spans="1:26" x14ac:dyDescent="0.3">
      <c r="A53" s="19">
        <v>46</v>
      </c>
      <c r="B53" s="13" t="s">
        <v>556</v>
      </c>
      <c r="C53" s="13" t="s">
        <v>762</v>
      </c>
      <c r="D53" s="13" t="s">
        <v>558</v>
      </c>
      <c r="E53" s="6"/>
      <c r="F53" s="6"/>
      <c r="G53" s="6"/>
      <c r="H53" s="6"/>
      <c r="I53" s="6"/>
      <c r="J53" s="7"/>
      <c r="K53" s="13"/>
      <c r="L53" s="7"/>
      <c r="M53" s="6"/>
      <c r="N53" s="7"/>
      <c r="O53" s="6"/>
      <c r="P53" s="7"/>
      <c r="Q53" s="6">
        <v>28</v>
      </c>
      <c r="R53" s="7">
        <f t="shared" si="13"/>
        <v>121.27659574468085</v>
      </c>
      <c r="S53" s="6"/>
      <c r="T53" s="7">
        <f t="shared" si="14"/>
        <v>0</v>
      </c>
      <c r="U53" s="6"/>
      <c r="V53" s="7"/>
      <c r="W53" s="6"/>
      <c r="X53" s="7">
        <f t="shared" si="15"/>
        <v>0</v>
      </c>
      <c r="Y53" s="8">
        <f t="shared" si="16"/>
        <v>121.27659574468085</v>
      </c>
      <c r="Z53" s="6">
        <f t="shared" si="17"/>
        <v>43</v>
      </c>
    </row>
    <row r="54" spans="1:26" x14ac:dyDescent="0.3">
      <c r="A54" s="13">
        <v>13</v>
      </c>
      <c r="B54" s="13" t="s">
        <v>577</v>
      </c>
      <c r="C54" s="13" t="s">
        <v>359</v>
      </c>
      <c r="D54" s="13" t="s">
        <v>185</v>
      </c>
      <c r="E54" s="6"/>
      <c r="F54" s="6">
        <f>IF(E54=0,,$E$9+1-E54)</f>
        <v>0</v>
      </c>
      <c r="G54" s="6"/>
      <c r="H54" s="7">
        <f>IF(G54=0,,($G$9-G54)*$G$7*100/$G$9)</f>
        <v>0</v>
      </c>
      <c r="I54" s="6"/>
      <c r="J54" s="7">
        <f>IF(I54=0,,($I$9-I54)*$I$7*100/$I$9)</f>
        <v>0</v>
      </c>
      <c r="K54" s="13">
        <v>48</v>
      </c>
      <c r="L54" s="7">
        <f>IF(K54=0,,($K$9-K54)*$K$7*100/$K$9)</f>
        <v>120</v>
      </c>
      <c r="M54" s="6"/>
      <c r="N54" s="7">
        <f>IF(M54=0,,($M$9-M54)*$M$7*100/$M$9)</f>
        <v>0</v>
      </c>
      <c r="O54" s="6"/>
      <c r="P54" s="7">
        <f>IF(O54=0,,(#REF!-O54)*#REF!*100/#REF!)</f>
        <v>0</v>
      </c>
      <c r="Q54" s="6"/>
      <c r="R54" s="7">
        <f t="shared" si="13"/>
        <v>0</v>
      </c>
      <c r="S54" s="6"/>
      <c r="T54" s="7">
        <f t="shared" si="14"/>
        <v>0</v>
      </c>
      <c r="U54" s="6"/>
      <c r="V54" s="7">
        <f>IF(U54=0,,(#REF!-U54)*#REF!*100/#REF!)</f>
        <v>0</v>
      </c>
      <c r="W54" s="6"/>
      <c r="X54" s="7">
        <f t="shared" si="15"/>
        <v>0</v>
      </c>
      <c r="Y54" s="8">
        <f t="shared" si="16"/>
        <v>120</v>
      </c>
      <c r="Z54" s="6">
        <f t="shared" si="17"/>
        <v>44</v>
      </c>
    </row>
    <row r="55" spans="1:26" x14ac:dyDescent="0.3">
      <c r="A55" s="19">
        <v>47</v>
      </c>
      <c r="B55" s="13" t="s">
        <v>443</v>
      </c>
      <c r="C55" s="13" t="s">
        <v>444</v>
      </c>
      <c r="D55" s="13" t="s">
        <v>246</v>
      </c>
      <c r="E55" s="6"/>
      <c r="F55" s="6">
        <f>IF(E55=0,,$E$9+1-E55)</f>
        <v>0</v>
      </c>
      <c r="G55" s="6"/>
      <c r="H55" s="7">
        <f>IF(G55=0,,($G$9-G55)*$G$7*100/$G$9)</f>
        <v>0</v>
      </c>
      <c r="I55" s="6"/>
      <c r="J55" s="7">
        <f>IF(I55=0,,($I$9-I55)*$I$7*100/$I$9)</f>
        <v>0</v>
      </c>
      <c r="K55" s="13">
        <v>51</v>
      </c>
      <c r="L55" s="7">
        <f>IF(K55=0,,($K$9-K55)*$K$7*100/$K$9)</f>
        <v>108.75</v>
      </c>
      <c r="M55" s="6"/>
      <c r="N55" s="7">
        <f>IF(M55=0,,($M$9-M55)*$M$7*100/$M$9)</f>
        <v>0</v>
      </c>
      <c r="O55" s="6"/>
      <c r="P55" s="7">
        <f>IF(O55=0,,(#REF!-O55)*#REF!*100/#REF!)</f>
        <v>0</v>
      </c>
      <c r="Q55" s="6"/>
      <c r="R55" s="7">
        <f t="shared" si="13"/>
        <v>0</v>
      </c>
      <c r="S55" s="6"/>
      <c r="T55" s="7">
        <f t="shared" si="14"/>
        <v>0</v>
      </c>
      <c r="U55" s="6"/>
      <c r="V55" s="7">
        <f>IF(U55=0,,(#REF!-U55)*#REF!*100/#REF!)</f>
        <v>0</v>
      </c>
      <c r="W55" s="6"/>
      <c r="X55" s="7">
        <f t="shared" si="15"/>
        <v>0</v>
      </c>
      <c r="Y55" s="8">
        <f t="shared" si="16"/>
        <v>108.75</v>
      </c>
      <c r="Z55" s="6">
        <f t="shared" si="17"/>
        <v>45</v>
      </c>
    </row>
    <row r="56" spans="1:26" x14ac:dyDescent="0.3">
      <c r="A56" s="19">
        <v>48</v>
      </c>
      <c r="B56" s="13" t="s">
        <v>812</v>
      </c>
      <c r="C56" s="13" t="s">
        <v>307</v>
      </c>
      <c r="D56" s="13" t="s">
        <v>813</v>
      </c>
      <c r="E56" s="6"/>
      <c r="F56" s="6"/>
      <c r="G56" s="6"/>
      <c r="H56" s="6"/>
      <c r="I56" s="6"/>
      <c r="J56" s="7"/>
      <c r="K56" s="13"/>
      <c r="L56" s="7"/>
      <c r="M56" s="6"/>
      <c r="N56" s="7"/>
      <c r="O56" s="6"/>
      <c r="P56" s="7"/>
      <c r="Q56" s="6">
        <v>30</v>
      </c>
      <c r="R56" s="7">
        <f t="shared" si="13"/>
        <v>108.51063829787235</v>
      </c>
      <c r="S56" s="6"/>
      <c r="T56" s="7">
        <f t="shared" si="14"/>
        <v>0</v>
      </c>
      <c r="U56" s="6"/>
      <c r="V56" s="7"/>
      <c r="W56" s="6"/>
      <c r="X56" s="7">
        <f t="shared" si="15"/>
        <v>0</v>
      </c>
      <c r="Y56" s="8">
        <f t="shared" si="16"/>
        <v>108.51063829787235</v>
      </c>
      <c r="Z56" s="6">
        <f t="shared" si="17"/>
        <v>46</v>
      </c>
    </row>
    <row r="57" spans="1:26" x14ac:dyDescent="0.3">
      <c r="A57" s="19">
        <v>49</v>
      </c>
      <c r="B57" s="13" t="s">
        <v>602</v>
      </c>
      <c r="C57" s="13" t="s">
        <v>599</v>
      </c>
      <c r="D57" s="13" t="s">
        <v>278</v>
      </c>
      <c r="E57" s="6"/>
      <c r="F57" s="6">
        <f>IF(E57=0,,$E$9+1-E57)</f>
        <v>0</v>
      </c>
      <c r="G57" s="6"/>
      <c r="H57" s="7">
        <f>IF(G57=0,,($G$9-G57)*$G$7*100/$G$9)</f>
        <v>0</v>
      </c>
      <c r="I57" s="6"/>
      <c r="J57" s="7">
        <f>IF(I57=0,,($I$9-I57)*$I$7*100/$I$9)</f>
        <v>0</v>
      </c>
      <c r="K57" s="13">
        <v>79</v>
      </c>
      <c r="L57" s="7">
        <f>IF(K57=0,,($K$9-K57)*$K$7*100/$K$9)</f>
        <v>3.75</v>
      </c>
      <c r="M57" s="6"/>
      <c r="N57" s="7">
        <f>IF(M57=0,,($M$9-M57)*$M$7*100/$M$9)</f>
        <v>0</v>
      </c>
      <c r="O57" s="6"/>
      <c r="P57" s="7">
        <f>IF(O57=0,,(#REF!-O57)*#REF!*100/#REF!)</f>
        <v>0</v>
      </c>
      <c r="Q57" s="6">
        <v>31</v>
      </c>
      <c r="R57" s="7">
        <f t="shared" si="13"/>
        <v>102.12765957446808</v>
      </c>
      <c r="S57" s="6"/>
      <c r="T57" s="7">
        <f t="shared" si="14"/>
        <v>0</v>
      </c>
      <c r="U57" s="6"/>
      <c r="V57" s="7">
        <f>IF(U57=0,,(#REF!-U57)*#REF!*100/#REF!)</f>
        <v>0</v>
      </c>
      <c r="W57" s="6"/>
      <c r="X57" s="7">
        <f t="shared" si="15"/>
        <v>0</v>
      </c>
      <c r="Y57" s="8">
        <f t="shared" si="16"/>
        <v>105.87765957446808</v>
      </c>
      <c r="Z57" s="6">
        <f t="shared" si="17"/>
        <v>47</v>
      </c>
    </row>
    <row r="58" spans="1:26" x14ac:dyDescent="0.3">
      <c r="A58" s="19">
        <v>50</v>
      </c>
      <c r="B58" s="13" t="s">
        <v>591</v>
      </c>
      <c r="C58" s="13" t="s">
        <v>359</v>
      </c>
      <c r="D58" s="13" t="s">
        <v>446</v>
      </c>
      <c r="E58" s="6"/>
      <c r="F58" s="6">
        <f>IF(E58=0,,$E$9+1-E58)</f>
        <v>0</v>
      </c>
      <c r="G58" s="6"/>
      <c r="H58" s="6">
        <f>IF(G58=0,,$E$9+1-G58)</f>
        <v>0</v>
      </c>
      <c r="I58" s="6"/>
      <c r="J58" s="7">
        <f>IF(I58=0,,($I$9-I58)*$I$7*100/$I$9)</f>
        <v>0</v>
      </c>
      <c r="K58" s="13">
        <v>69</v>
      </c>
      <c r="L58" s="7">
        <f>IF(K58=0,,($K$9-K58)*$K$7*100/$K$9)</f>
        <v>41.25</v>
      </c>
      <c r="M58" s="6"/>
      <c r="N58" s="7">
        <f>IF(M58=0,,($M$9-M58)*$M$7*100/$M$9)</f>
        <v>0</v>
      </c>
      <c r="O58" s="6"/>
      <c r="P58" s="7">
        <f>IF(O58=0,,(#REF!-O58)*#REF!*100/#REF!)</f>
        <v>0</v>
      </c>
      <c r="Q58" s="6">
        <v>39</v>
      </c>
      <c r="R58" s="7">
        <f t="shared" si="13"/>
        <v>51.063829787234042</v>
      </c>
      <c r="S58" s="6"/>
      <c r="T58" s="7">
        <f t="shared" si="14"/>
        <v>0</v>
      </c>
      <c r="U58" s="6"/>
      <c r="V58" s="7">
        <f>IF(U58=0,,(#REF!-U58)*#REF!*100/#REF!)</f>
        <v>0</v>
      </c>
      <c r="W58" s="6"/>
      <c r="X58" s="7">
        <f t="shared" si="15"/>
        <v>0</v>
      </c>
      <c r="Y58" s="8">
        <f t="shared" si="16"/>
        <v>92.313829787234042</v>
      </c>
      <c r="Z58" s="6">
        <f t="shared" si="17"/>
        <v>48</v>
      </c>
    </row>
    <row r="59" spans="1:26" x14ac:dyDescent="0.3">
      <c r="A59" s="19">
        <v>51</v>
      </c>
      <c r="B59" s="13" t="s">
        <v>186</v>
      </c>
      <c r="C59" s="13" t="s">
        <v>355</v>
      </c>
      <c r="D59" s="13" t="s">
        <v>246</v>
      </c>
      <c r="E59" s="6"/>
      <c r="F59" s="6">
        <f>IF(E59=0,,$E$9+1-E59)</f>
        <v>0</v>
      </c>
      <c r="G59" s="6"/>
      <c r="H59" s="7">
        <f>IF(G59=0,,($G$9-G59)*$G$7*100/$G$9)</f>
        <v>0</v>
      </c>
      <c r="I59" s="6"/>
      <c r="J59" s="7">
        <f>IF(I59=0,,($I$9-I59)*$I$7*100/$I$9)</f>
        <v>0</v>
      </c>
      <c r="K59" s="13">
        <v>56</v>
      </c>
      <c r="L59" s="7">
        <f>IF(K59=0,,($K$9-K59)*$K$7*100/$K$9)</f>
        <v>90</v>
      </c>
      <c r="M59" s="6"/>
      <c r="N59" s="7">
        <f>IF(M59=0,,($M$9-M59)*$M$7*100/$M$9)</f>
        <v>0</v>
      </c>
      <c r="O59" s="6"/>
      <c r="P59" s="7">
        <f>IF(O59=0,,(#REF!-O59)*#REF!*100/#REF!)</f>
        <v>0</v>
      </c>
      <c r="Q59" s="6"/>
      <c r="R59" s="7">
        <f t="shared" si="13"/>
        <v>0</v>
      </c>
      <c r="S59" s="6"/>
      <c r="T59" s="7">
        <f t="shared" si="14"/>
        <v>0</v>
      </c>
      <c r="U59" s="6"/>
      <c r="V59" s="7">
        <f>IF(U59=0,,(#REF!-U59)*#REF!*100/#REF!)</f>
        <v>0</v>
      </c>
      <c r="W59" s="6"/>
      <c r="X59" s="7">
        <f t="shared" si="15"/>
        <v>0</v>
      </c>
      <c r="Y59" s="8">
        <f t="shared" si="16"/>
        <v>90</v>
      </c>
      <c r="Z59" s="6">
        <f t="shared" si="17"/>
        <v>49</v>
      </c>
    </row>
    <row r="60" spans="1:26" x14ac:dyDescent="0.3">
      <c r="A60" s="19">
        <v>52</v>
      </c>
      <c r="B60" s="13" t="s">
        <v>814</v>
      </c>
      <c r="C60" s="13" t="s">
        <v>815</v>
      </c>
      <c r="D60" s="13" t="s">
        <v>408</v>
      </c>
      <c r="E60" s="6"/>
      <c r="F60" s="6"/>
      <c r="G60" s="6"/>
      <c r="H60" s="6"/>
      <c r="I60" s="6"/>
      <c r="J60" s="7"/>
      <c r="K60" s="13"/>
      <c r="L60" s="7"/>
      <c r="M60" s="6"/>
      <c r="N60" s="7"/>
      <c r="O60" s="6"/>
      <c r="P60" s="7"/>
      <c r="Q60" s="6">
        <v>33</v>
      </c>
      <c r="R60" s="7">
        <f t="shared" si="13"/>
        <v>89.361702127659569</v>
      </c>
      <c r="S60" s="6"/>
      <c r="T60" s="7">
        <f t="shared" si="14"/>
        <v>0</v>
      </c>
      <c r="U60" s="6"/>
      <c r="V60" s="7"/>
      <c r="W60" s="6"/>
      <c r="X60" s="7">
        <f t="shared" si="15"/>
        <v>0</v>
      </c>
      <c r="Y60" s="8">
        <f t="shared" si="16"/>
        <v>89.361702127659569</v>
      </c>
      <c r="Z60" s="6">
        <f t="shared" si="17"/>
        <v>50</v>
      </c>
    </row>
    <row r="61" spans="1:26" x14ac:dyDescent="0.3">
      <c r="A61" s="19">
        <v>53</v>
      </c>
      <c r="B61" s="13" t="s">
        <v>581</v>
      </c>
      <c r="C61" s="13" t="s">
        <v>582</v>
      </c>
      <c r="D61" s="13" t="s">
        <v>446</v>
      </c>
      <c r="E61" s="6"/>
      <c r="F61" s="6">
        <f>IF(E61=0,,$E$9+1-E61)</f>
        <v>0</v>
      </c>
      <c r="G61" s="6"/>
      <c r="H61" s="7">
        <f>IF(G61=0,,($G$9-G61)*$G$7*100/$G$9)</f>
        <v>0</v>
      </c>
      <c r="I61" s="6"/>
      <c r="J61" s="7">
        <f>IF(I61=0,,($I$9-I61)*$I$7*100/$I$9)</f>
        <v>0</v>
      </c>
      <c r="K61" s="13">
        <v>57</v>
      </c>
      <c r="L61" s="7">
        <f>IF(K61=0,,($K$9-K61)*$K$7*100/$K$9)</f>
        <v>86.25</v>
      </c>
      <c r="M61" s="6"/>
      <c r="N61" s="7">
        <f>IF(M61=0,,($M$9-M61)*$M$7*100/$M$9)</f>
        <v>0</v>
      </c>
      <c r="O61" s="6"/>
      <c r="P61" s="7">
        <f>IF(O61=0,,(#REF!-O61)*#REF!*100/#REF!)</f>
        <v>0</v>
      </c>
      <c r="Q61" s="6"/>
      <c r="R61" s="7">
        <f t="shared" si="13"/>
        <v>0</v>
      </c>
      <c r="S61" s="6"/>
      <c r="T61" s="7">
        <f t="shared" si="14"/>
        <v>0</v>
      </c>
      <c r="U61" s="6"/>
      <c r="V61" s="7">
        <f>IF(U61=0,,(#REF!-U61)*#REF!*100/#REF!)</f>
        <v>0</v>
      </c>
      <c r="W61" s="6"/>
      <c r="X61" s="7">
        <f t="shared" si="15"/>
        <v>0</v>
      </c>
      <c r="Y61" s="8">
        <f t="shared" si="16"/>
        <v>86.25</v>
      </c>
      <c r="Z61" s="6">
        <f t="shared" si="17"/>
        <v>51</v>
      </c>
    </row>
    <row r="62" spans="1:26" x14ac:dyDescent="0.3">
      <c r="A62" s="19">
        <v>54</v>
      </c>
      <c r="B62" s="13" t="s">
        <v>594</v>
      </c>
      <c r="C62" s="13" t="s">
        <v>595</v>
      </c>
      <c r="D62" s="13" t="s">
        <v>264</v>
      </c>
      <c r="E62" s="6"/>
      <c r="F62" s="6">
        <f>IF(E62=0,,$E$9+1-E62)</f>
        <v>0</v>
      </c>
      <c r="G62" s="6"/>
      <c r="H62" s="7">
        <f>IF(G62=0,,($G$9-G62)*$G$7*100/$G$9)</f>
        <v>0</v>
      </c>
      <c r="I62" s="6"/>
      <c r="J62" s="7">
        <f>IF(I62=0,,($I$9-I62)*$I$7*100/$I$9)</f>
        <v>0</v>
      </c>
      <c r="K62" s="13">
        <v>74</v>
      </c>
      <c r="L62" s="7">
        <f>IF(K62=0,,($K$9-K62)*$K$7*100/$K$9)</f>
        <v>22.5</v>
      </c>
      <c r="M62" s="6"/>
      <c r="N62" s="7">
        <f>IF(M62=0,,($M$9-M62)*$M$7*100/$M$9)</f>
        <v>0</v>
      </c>
      <c r="O62" s="6"/>
      <c r="P62" s="7">
        <f>IF(O62=0,,(#REF!-O62)*#REF!*100/#REF!)</f>
        <v>0</v>
      </c>
      <c r="Q62" s="6">
        <v>38</v>
      </c>
      <c r="R62" s="7">
        <f t="shared" si="13"/>
        <v>57.446808510638299</v>
      </c>
      <c r="S62" s="6"/>
      <c r="T62" s="7">
        <f t="shared" si="14"/>
        <v>0</v>
      </c>
      <c r="U62" s="6"/>
      <c r="V62" s="7">
        <f>IF(U62=0,,(#REF!-U62)*#REF!*100/#REF!)</f>
        <v>0</v>
      </c>
      <c r="W62" s="6"/>
      <c r="X62" s="7">
        <f t="shared" si="15"/>
        <v>0</v>
      </c>
      <c r="Y62" s="8">
        <f t="shared" si="16"/>
        <v>79.946808510638306</v>
      </c>
      <c r="Z62" s="6">
        <f t="shared" si="17"/>
        <v>52</v>
      </c>
    </row>
    <row r="63" spans="1:26" x14ac:dyDescent="0.3">
      <c r="A63" s="19">
        <v>55</v>
      </c>
      <c r="B63" s="13" t="s">
        <v>816</v>
      </c>
      <c r="C63" s="13" t="s">
        <v>817</v>
      </c>
      <c r="D63" s="13" t="s">
        <v>408</v>
      </c>
      <c r="E63" s="6"/>
      <c r="F63" s="6"/>
      <c r="G63" s="6"/>
      <c r="H63" s="6"/>
      <c r="I63" s="6"/>
      <c r="J63" s="7"/>
      <c r="K63" s="13"/>
      <c r="L63" s="7"/>
      <c r="M63" s="6"/>
      <c r="N63" s="7"/>
      <c r="O63" s="6"/>
      <c r="P63" s="7"/>
      <c r="Q63" s="6">
        <v>35</v>
      </c>
      <c r="R63" s="7">
        <f t="shared" si="13"/>
        <v>76.59574468085107</v>
      </c>
      <c r="S63" s="6"/>
      <c r="T63" s="7">
        <f t="shared" si="14"/>
        <v>0</v>
      </c>
      <c r="U63" s="6"/>
      <c r="V63" s="7"/>
      <c r="W63" s="6"/>
      <c r="X63" s="7">
        <f t="shared" si="15"/>
        <v>0</v>
      </c>
      <c r="Y63" s="8">
        <f t="shared" si="16"/>
        <v>76.59574468085107</v>
      </c>
      <c r="Z63" s="6">
        <f t="shared" si="17"/>
        <v>53</v>
      </c>
    </row>
    <row r="64" spans="1:26" x14ac:dyDescent="0.3">
      <c r="A64" s="19">
        <v>56</v>
      </c>
      <c r="B64" s="13" t="s">
        <v>443</v>
      </c>
      <c r="C64" s="13" t="s">
        <v>444</v>
      </c>
      <c r="D64" s="13" t="s">
        <v>246</v>
      </c>
      <c r="E64" s="13"/>
      <c r="F64" s="13">
        <f>IF(E64=0,,$E$9+1-E64)</f>
        <v>0</v>
      </c>
      <c r="G64" s="13">
        <v>25</v>
      </c>
      <c r="H64" s="23">
        <f>IF(G64=0,,($G$9-G64)*$G$7*100/$G$9)</f>
        <v>75</v>
      </c>
      <c r="I64" s="13"/>
      <c r="J64" s="23">
        <f>IF(I64=0,,($I$9-I64)*$I$7*100/$I$9)</f>
        <v>0</v>
      </c>
      <c r="K64" s="13"/>
      <c r="L64" s="7">
        <f>IF(K64=0,,($K$9-K64)*$K$7*100/$K$9)</f>
        <v>0</v>
      </c>
      <c r="M64" s="6"/>
      <c r="N64" s="7">
        <f>IF(M64=0,,($M$9-M64)*$M$7*100/$M$9)</f>
        <v>0</v>
      </c>
      <c r="O64" s="6"/>
      <c r="P64" s="7">
        <f>IF(O64=0,,(#REF!-O64)*#REF!*100/#REF!)</f>
        <v>0</v>
      </c>
      <c r="Q64" s="6"/>
      <c r="R64" s="7">
        <f t="shared" si="13"/>
        <v>0</v>
      </c>
      <c r="S64" s="6"/>
      <c r="T64" s="7">
        <f t="shared" si="14"/>
        <v>0</v>
      </c>
      <c r="U64" s="6"/>
      <c r="V64" s="7">
        <f>IF(U64=0,,(#REF!-U64)*#REF!*100/#REF!)</f>
        <v>0</v>
      </c>
      <c r="W64" s="6"/>
      <c r="X64" s="7">
        <f t="shared" si="15"/>
        <v>0</v>
      </c>
      <c r="Y64" s="8">
        <f t="shared" si="16"/>
        <v>75</v>
      </c>
      <c r="Z64" s="6">
        <f t="shared" si="17"/>
        <v>54</v>
      </c>
    </row>
    <row r="65" spans="1:26" x14ac:dyDescent="0.3">
      <c r="A65" s="19">
        <v>57</v>
      </c>
      <c r="B65" s="13" t="s">
        <v>583</v>
      </c>
      <c r="C65" s="13" t="s">
        <v>163</v>
      </c>
      <c r="D65" s="13" t="s">
        <v>131</v>
      </c>
      <c r="E65" s="6"/>
      <c r="F65" s="6">
        <f>IF(E65=0,,$E$9+1-E65)</f>
        <v>0</v>
      </c>
      <c r="G65" s="6"/>
      <c r="H65" s="7">
        <f>IF(G65=0,,($G$9-G65)*$G$7*100/$G$9)</f>
        <v>0</v>
      </c>
      <c r="I65" s="6"/>
      <c r="J65" s="7">
        <f>IF(I65=0,,($I$9-I65)*$I$7*100/$I$9)</f>
        <v>0</v>
      </c>
      <c r="K65" s="13">
        <v>60</v>
      </c>
      <c r="L65" s="7">
        <f>IF(K65=0,,($K$9-K65)*$K$7*100/$K$9)</f>
        <v>75</v>
      </c>
      <c r="M65" s="6"/>
      <c r="N65" s="7">
        <f>IF(M65=0,,($M$9-M65)*$M$7*100/$M$9)</f>
        <v>0</v>
      </c>
      <c r="O65" s="6"/>
      <c r="P65" s="7">
        <f>IF(O65=0,,(#REF!-O65)*#REF!*100/#REF!)</f>
        <v>0</v>
      </c>
      <c r="Q65" s="6"/>
      <c r="R65" s="7">
        <f t="shared" si="13"/>
        <v>0</v>
      </c>
      <c r="S65" s="6"/>
      <c r="T65" s="7">
        <f t="shared" si="14"/>
        <v>0</v>
      </c>
      <c r="U65" s="6"/>
      <c r="V65" s="7">
        <f>IF(U65=0,,(#REF!-U65)*#REF!*100/#REF!)</f>
        <v>0</v>
      </c>
      <c r="W65" s="6"/>
      <c r="X65" s="7">
        <f t="shared" si="15"/>
        <v>0</v>
      </c>
      <c r="Y65" s="8">
        <f t="shared" si="16"/>
        <v>75</v>
      </c>
      <c r="Z65" s="6">
        <f t="shared" si="17"/>
        <v>55</v>
      </c>
    </row>
    <row r="66" spans="1:26" x14ac:dyDescent="0.3">
      <c r="A66" s="19">
        <v>58</v>
      </c>
      <c r="B66" s="13" t="s">
        <v>584</v>
      </c>
      <c r="C66" s="13" t="s">
        <v>585</v>
      </c>
      <c r="D66" s="13" t="s">
        <v>278</v>
      </c>
      <c r="E66" s="6"/>
      <c r="F66" s="6">
        <f>IF(E66=0,,$E$9+1-E66)</f>
        <v>0</v>
      </c>
      <c r="G66" s="6"/>
      <c r="H66" s="7">
        <f>IF(G66=0,,($G$9-G66)*$G$7*100/$G$9)</f>
        <v>0</v>
      </c>
      <c r="I66" s="6"/>
      <c r="J66" s="7">
        <f>IF(I66=0,,($I$9-I66)*$I$7*100/$I$9)</f>
        <v>0</v>
      </c>
      <c r="K66" s="13">
        <v>61</v>
      </c>
      <c r="L66" s="7">
        <f>IF(K66=0,,($K$9-K66)*$K$7*100/$K$9)</f>
        <v>71.25</v>
      </c>
      <c r="M66" s="6"/>
      <c r="N66" s="7">
        <f>IF(M66=0,,($M$9-M66)*$M$7*100/$M$9)</f>
        <v>0</v>
      </c>
      <c r="O66" s="6"/>
      <c r="P66" s="7">
        <f>IF(O66=0,,(#REF!-O66)*#REF!*100/#REF!)</f>
        <v>0</v>
      </c>
      <c r="Q66" s="6"/>
      <c r="R66" s="7">
        <f t="shared" si="13"/>
        <v>0</v>
      </c>
      <c r="S66" s="6"/>
      <c r="T66" s="7">
        <f t="shared" si="14"/>
        <v>0</v>
      </c>
      <c r="U66" s="6"/>
      <c r="V66" s="7">
        <f>IF(U66=0,,(#REF!-U66)*#REF!*100/#REF!)</f>
        <v>0</v>
      </c>
      <c r="W66" s="6"/>
      <c r="X66" s="7">
        <f t="shared" si="15"/>
        <v>0</v>
      </c>
      <c r="Y66" s="8">
        <f t="shared" si="16"/>
        <v>71.25</v>
      </c>
      <c r="Z66" s="6">
        <f t="shared" si="17"/>
        <v>56</v>
      </c>
    </row>
    <row r="67" spans="1:26" x14ac:dyDescent="0.3">
      <c r="A67" s="19">
        <v>59</v>
      </c>
      <c r="B67" s="13" t="s">
        <v>818</v>
      </c>
      <c r="C67" s="13" t="s">
        <v>819</v>
      </c>
      <c r="D67" s="13" t="s">
        <v>820</v>
      </c>
      <c r="E67" s="6"/>
      <c r="F67" s="6"/>
      <c r="G67" s="6"/>
      <c r="H67" s="6"/>
      <c r="I67" s="6"/>
      <c r="J67" s="7"/>
      <c r="K67" s="13"/>
      <c r="L67" s="7"/>
      <c r="M67" s="6"/>
      <c r="N67" s="7"/>
      <c r="O67" s="6"/>
      <c r="P67" s="7"/>
      <c r="Q67" s="6">
        <v>36</v>
      </c>
      <c r="R67" s="7">
        <f t="shared" si="13"/>
        <v>70.212765957446805</v>
      </c>
      <c r="S67" s="6"/>
      <c r="T67" s="7">
        <f t="shared" si="14"/>
        <v>0</v>
      </c>
      <c r="U67" s="6"/>
      <c r="V67" s="7"/>
      <c r="W67" s="6"/>
      <c r="X67" s="7">
        <f t="shared" si="15"/>
        <v>0</v>
      </c>
      <c r="Y67" s="8">
        <f t="shared" si="16"/>
        <v>70.212765957446805</v>
      </c>
      <c r="Z67" s="6">
        <f t="shared" si="17"/>
        <v>57</v>
      </c>
    </row>
    <row r="68" spans="1:26" x14ac:dyDescent="0.3">
      <c r="A68" s="19">
        <v>60</v>
      </c>
      <c r="B68" s="13" t="s">
        <v>588</v>
      </c>
      <c r="C68" s="13" t="s">
        <v>586</v>
      </c>
      <c r="D68" s="13" t="s">
        <v>587</v>
      </c>
      <c r="E68" s="6"/>
      <c r="F68" s="6">
        <f>IF(E68=0,,$E$9+1-E68)</f>
        <v>0</v>
      </c>
      <c r="G68" s="6"/>
      <c r="H68" s="6">
        <f>IF(G68=0,,$E$9+1-G68)</f>
        <v>0</v>
      </c>
      <c r="I68" s="6"/>
      <c r="J68" s="7">
        <f>IF(I68=0,,($I$9-I68)*$I$7*100/$I$9)</f>
        <v>0</v>
      </c>
      <c r="K68" s="13">
        <v>64</v>
      </c>
      <c r="L68" s="7">
        <f>IF(K68=0,,($K$9-K68)*$K$7*100/$K$9)</f>
        <v>60</v>
      </c>
      <c r="M68" s="6"/>
      <c r="N68" s="7">
        <f>IF(M68=0,,($M$9-M68)*$M$7*100/$M$9)</f>
        <v>0</v>
      </c>
      <c r="O68" s="6"/>
      <c r="P68" s="7">
        <f>IF(O68=0,,(#REF!-O68)*#REF!*100/#REF!)</f>
        <v>0</v>
      </c>
      <c r="Q68" s="6">
        <v>47</v>
      </c>
      <c r="R68" s="7">
        <f t="shared" si="13"/>
        <v>0</v>
      </c>
      <c r="S68" s="6"/>
      <c r="T68" s="7">
        <f t="shared" si="14"/>
        <v>0</v>
      </c>
      <c r="U68" s="6"/>
      <c r="V68" s="7">
        <f>IF(U68=0,,(#REF!-U68)*#REF!*100/#REF!)</f>
        <v>0</v>
      </c>
      <c r="W68" s="6"/>
      <c r="X68" s="7">
        <f t="shared" si="15"/>
        <v>0</v>
      </c>
      <c r="Y68" s="8">
        <f t="shared" si="16"/>
        <v>60</v>
      </c>
      <c r="Z68" s="6">
        <f t="shared" si="17"/>
        <v>58</v>
      </c>
    </row>
    <row r="69" spans="1:26" x14ac:dyDescent="0.3">
      <c r="A69" s="19">
        <v>61</v>
      </c>
      <c r="B69" s="13" t="s">
        <v>589</v>
      </c>
      <c r="C69" s="13" t="s">
        <v>368</v>
      </c>
      <c r="D69" s="13" t="s">
        <v>264</v>
      </c>
      <c r="E69" s="6"/>
      <c r="F69" s="6">
        <f>IF(E69=0,,$E$9+1-E69)</f>
        <v>0</v>
      </c>
      <c r="G69" s="6"/>
      <c r="H69" s="6">
        <f>IF(G69=0,,$E$9+1-G69)</f>
        <v>0</v>
      </c>
      <c r="I69" s="6"/>
      <c r="J69" s="7">
        <f>IF(I69=0,,($I$9-I69)*$I$7*100/$I$9)</f>
        <v>0</v>
      </c>
      <c r="K69" s="13">
        <v>65</v>
      </c>
      <c r="L69" s="7">
        <f>IF(K69=0,,($K$9-K69)*$K$7*100/$K$9)</f>
        <v>56.25</v>
      </c>
      <c r="M69" s="6"/>
      <c r="N69" s="7">
        <f>IF(M69=0,,($M$9-M69)*$M$7*100/$M$9)</f>
        <v>0</v>
      </c>
      <c r="O69" s="6"/>
      <c r="P69" s="7">
        <f>IF(O69=0,,(#REF!-O69)*#REF!*100/#REF!)</f>
        <v>0</v>
      </c>
      <c r="Q69" s="6"/>
      <c r="R69" s="7">
        <f t="shared" si="13"/>
        <v>0</v>
      </c>
      <c r="S69" s="6"/>
      <c r="T69" s="7">
        <f t="shared" si="14"/>
        <v>0</v>
      </c>
      <c r="U69" s="6"/>
      <c r="V69" s="7">
        <f>IF(U69=0,,(#REF!-U69)*#REF!*100/#REF!)</f>
        <v>0</v>
      </c>
      <c r="W69" s="6"/>
      <c r="X69" s="7">
        <f t="shared" si="15"/>
        <v>0</v>
      </c>
      <c r="Y69" s="8">
        <f t="shared" si="16"/>
        <v>56.25</v>
      </c>
      <c r="Z69" s="6">
        <f t="shared" si="17"/>
        <v>59</v>
      </c>
    </row>
    <row r="70" spans="1:26" x14ac:dyDescent="0.3">
      <c r="A70" s="19">
        <v>62</v>
      </c>
      <c r="B70" s="13" t="s">
        <v>159</v>
      </c>
      <c r="C70" s="13" t="s">
        <v>160</v>
      </c>
      <c r="D70" s="13" t="s">
        <v>408</v>
      </c>
      <c r="E70" s="6"/>
      <c r="F70" s="6">
        <f>IF(E70=0,,$E$9+1-E70)</f>
        <v>0</v>
      </c>
      <c r="G70" s="6"/>
      <c r="H70" s="7">
        <f>IF(G70=0,,($G$9-G70)*$G$7*100/$G$9)</f>
        <v>0</v>
      </c>
      <c r="I70" s="6"/>
      <c r="J70" s="7">
        <f>IF(I70=0,,($I$9-I70)*$I$7*100/$I$9)</f>
        <v>0</v>
      </c>
      <c r="K70" s="13">
        <v>67</v>
      </c>
      <c r="L70" s="7">
        <f>IF(K70=0,,($K$9-K70)*$K$7*100/$K$9)</f>
        <v>48.75</v>
      </c>
      <c r="M70" s="6"/>
      <c r="N70" s="7">
        <f>IF(M70=0,,($M$9-M70)*$M$7*100/$M$9)</f>
        <v>0</v>
      </c>
      <c r="O70" s="6"/>
      <c r="P70" s="7">
        <f>IF(O70=0,,(#REF!-O70)*#REF!*100/#REF!)</f>
        <v>0</v>
      </c>
      <c r="Q70" s="6"/>
      <c r="R70" s="7">
        <f t="shared" si="13"/>
        <v>0</v>
      </c>
      <c r="S70" s="6"/>
      <c r="T70" s="7">
        <f t="shared" si="14"/>
        <v>0</v>
      </c>
      <c r="U70" s="6"/>
      <c r="V70" s="7">
        <f>IF(U70=0,,(#REF!-U70)*#REF!*100/#REF!)</f>
        <v>0</v>
      </c>
      <c r="W70" s="6"/>
      <c r="X70" s="7">
        <f t="shared" si="15"/>
        <v>0</v>
      </c>
      <c r="Y70" s="8">
        <f t="shared" si="16"/>
        <v>48.75</v>
      </c>
      <c r="Z70" s="6">
        <f t="shared" si="17"/>
        <v>60</v>
      </c>
    </row>
    <row r="71" spans="1:26" x14ac:dyDescent="0.3">
      <c r="A71" s="19">
        <v>63</v>
      </c>
      <c r="B71" s="13" t="s">
        <v>590</v>
      </c>
      <c r="C71" s="13" t="s">
        <v>262</v>
      </c>
      <c r="D71" s="13" t="s">
        <v>408</v>
      </c>
      <c r="E71" s="6"/>
      <c r="F71" s="6">
        <f>IF(E71=0,,$E$9+1-E71)</f>
        <v>0</v>
      </c>
      <c r="G71" s="6"/>
      <c r="H71" s="6">
        <f>IF(G71=0,,$E$9+1-G71)</f>
        <v>0</v>
      </c>
      <c r="I71" s="6"/>
      <c r="J71" s="7">
        <f>IF(I71=0,,($I$9-I71)*$I$7*100/$I$9)</f>
        <v>0</v>
      </c>
      <c r="K71" s="13">
        <v>68</v>
      </c>
      <c r="L71" s="7">
        <f>IF(K71=0,,($K$9-K71)*$K$7*100/$K$9)</f>
        <v>45</v>
      </c>
      <c r="M71" s="6"/>
      <c r="N71" s="7">
        <f>IF(M71=0,,($M$9-M71)*$M$7*100/$M$9)</f>
        <v>0</v>
      </c>
      <c r="O71" s="6"/>
      <c r="P71" s="7">
        <f>IF(O71=0,,(#REF!-O71)*#REF!*100/#REF!)</f>
        <v>0</v>
      </c>
      <c r="Q71" s="6"/>
      <c r="R71" s="7">
        <f t="shared" si="13"/>
        <v>0</v>
      </c>
      <c r="S71" s="6"/>
      <c r="T71" s="7">
        <f t="shared" si="14"/>
        <v>0</v>
      </c>
      <c r="U71" s="6"/>
      <c r="V71" s="7">
        <f>IF(U71=0,,(#REF!-U71)*#REF!*100/#REF!)</f>
        <v>0</v>
      </c>
      <c r="W71" s="6"/>
      <c r="X71" s="7">
        <f t="shared" si="15"/>
        <v>0</v>
      </c>
      <c r="Y71" s="8">
        <f t="shared" si="16"/>
        <v>45</v>
      </c>
      <c r="Z71" s="6">
        <f t="shared" si="17"/>
        <v>61</v>
      </c>
    </row>
    <row r="72" spans="1:26" x14ac:dyDescent="0.3">
      <c r="A72" s="19">
        <v>64</v>
      </c>
      <c r="B72" s="13" t="s">
        <v>821</v>
      </c>
      <c r="C72" s="13" t="s">
        <v>822</v>
      </c>
      <c r="D72" s="13" t="s">
        <v>408</v>
      </c>
      <c r="E72" s="6"/>
      <c r="F72" s="6"/>
      <c r="G72" s="6"/>
      <c r="H72" s="6"/>
      <c r="I72" s="6"/>
      <c r="J72" s="7"/>
      <c r="K72" s="13"/>
      <c r="L72" s="7"/>
      <c r="M72" s="6"/>
      <c r="N72" s="7"/>
      <c r="O72" s="6"/>
      <c r="P72" s="7"/>
      <c r="Q72" s="6">
        <v>40</v>
      </c>
      <c r="R72" s="7">
        <f t="shared" si="13"/>
        <v>44.680851063829785</v>
      </c>
      <c r="S72" s="6"/>
      <c r="T72" s="7">
        <f t="shared" si="14"/>
        <v>0</v>
      </c>
      <c r="U72" s="6"/>
      <c r="V72" s="7"/>
      <c r="W72" s="6"/>
      <c r="X72" s="7">
        <f t="shared" si="15"/>
        <v>0</v>
      </c>
      <c r="Y72" s="8">
        <f t="shared" si="16"/>
        <v>44.680851063829785</v>
      </c>
      <c r="Z72" s="6">
        <f t="shared" si="17"/>
        <v>62</v>
      </c>
    </row>
    <row r="73" spans="1:26" x14ac:dyDescent="0.3">
      <c r="A73" s="19">
        <v>65</v>
      </c>
      <c r="B73" s="13" t="s">
        <v>596</v>
      </c>
      <c r="C73" s="13" t="s">
        <v>597</v>
      </c>
      <c r="D73" s="13" t="s">
        <v>408</v>
      </c>
      <c r="E73" s="6"/>
      <c r="F73" s="6">
        <f>IF(E73=0,,$E$9+1-E73)</f>
        <v>0</v>
      </c>
      <c r="G73" s="6"/>
      <c r="H73" s="7">
        <f>IF(G73=0,,($G$9-G73)*$G$7*100/$G$9)</f>
        <v>0</v>
      </c>
      <c r="I73" s="6"/>
      <c r="J73" s="7">
        <f>IF(I73=0,,($I$9-I73)*$I$7*100/$I$9)</f>
        <v>0</v>
      </c>
      <c r="K73" s="13">
        <v>75</v>
      </c>
      <c r="L73" s="7">
        <f>IF(K73=0,,($K$9-K73)*$K$7*100/$K$9)</f>
        <v>18.75</v>
      </c>
      <c r="M73" s="6"/>
      <c r="N73" s="7">
        <f>IF(M73=0,,($M$9-M73)*$M$7*100/$M$9)</f>
        <v>0</v>
      </c>
      <c r="O73" s="6"/>
      <c r="P73" s="7">
        <f>IF(O73=0,,(#REF!-O73)*#REF!*100/#REF!)</f>
        <v>0</v>
      </c>
      <c r="Q73" s="6">
        <v>43</v>
      </c>
      <c r="R73" s="7">
        <f t="shared" si="13"/>
        <v>25.531914893617021</v>
      </c>
      <c r="S73" s="6"/>
      <c r="T73" s="7">
        <f t="shared" si="14"/>
        <v>0</v>
      </c>
      <c r="U73" s="6"/>
      <c r="V73" s="7">
        <f>IF(U73=0,,(#REF!-U73)*#REF!*100/#REF!)</f>
        <v>0</v>
      </c>
      <c r="W73" s="6"/>
      <c r="X73" s="7">
        <f t="shared" si="15"/>
        <v>0</v>
      </c>
      <c r="Y73" s="8">
        <f t="shared" si="16"/>
        <v>44.281914893617021</v>
      </c>
      <c r="Z73" s="6">
        <f t="shared" si="17"/>
        <v>63</v>
      </c>
    </row>
    <row r="74" spans="1:26" x14ac:dyDescent="0.3">
      <c r="A74" s="19">
        <v>66</v>
      </c>
      <c r="B74" s="13" t="s">
        <v>764</v>
      </c>
      <c r="C74" s="13" t="s">
        <v>765</v>
      </c>
      <c r="D74" s="13" t="s">
        <v>823</v>
      </c>
      <c r="E74" s="6"/>
      <c r="F74" s="6"/>
      <c r="G74" s="6"/>
      <c r="H74" s="6"/>
      <c r="I74" s="6"/>
      <c r="J74" s="7"/>
      <c r="K74" s="13"/>
      <c r="L74" s="7"/>
      <c r="M74" s="6"/>
      <c r="N74" s="7"/>
      <c r="O74" s="6"/>
      <c r="P74" s="7"/>
      <c r="Q74" s="6">
        <v>41</v>
      </c>
      <c r="R74" s="7">
        <f t="shared" si="13"/>
        <v>38.297872340425535</v>
      </c>
      <c r="S74" s="6"/>
      <c r="T74" s="7">
        <f t="shared" si="14"/>
        <v>0</v>
      </c>
      <c r="U74" s="6"/>
      <c r="V74" s="7"/>
      <c r="W74" s="6"/>
      <c r="X74" s="7">
        <f t="shared" si="15"/>
        <v>0</v>
      </c>
      <c r="Y74" s="8">
        <f t="shared" si="16"/>
        <v>38.297872340425535</v>
      </c>
      <c r="Z74" s="6">
        <f t="shared" si="17"/>
        <v>64</v>
      </c>
    </row>
    <row r="75" spans="1:26" x14ac:dyDescent="0.3">
      <c r="A75" s="19">
        <v>67</v>
      </c>
      <c r="B75" s="13" t="s">
        <v>299</v>
      </c>
      <c r="C75" s="13" t="s">
        <v>537</v>
      </c>
      <c r="D75" s="13" t="s">
        <v>131</v>
      </c>
      <c r="E75" s="6"/>
      <c r="F75" s="6">
        <f>IF(E75=0,,$E$9+1-E75)</f>
        <v>0</v>
      </c>
      <c r="G75" s="6"/>
      <c r="H75" s="7">
        <f>IF(G75=0,,($G$9-G75)*$G$7*100/$G$9)</f>
        <v>0</v>
      </c>
      <c r="I75" s="6"/>
      <c r="J75" s="7">
        <f>IF(I75=0,,($I$9-I75)*$I$7*100/$I$9)</f>
        <v>0</v>
      </c>
      <c r="K75" s="13">
        <v>70</v>
      </c>
      <c r="L75" s="7">
        <f>IF(K75=0,,($K$9-K75)*$K$7*100/$K$9)</f>
        <v>37.5</v>
      </c>
      <c r="M75" s="6"/>
      <c r="N75" s="7">
        <f>IF(M75=0,,($M$9-M75)*$M$7*100/$M$9)</f>
        <v>0</v>
      </c>
      <c r="O75" s="6"/>
      <c r="P75" s="7">
        <f>IF(O75=0,,(#REF!-O75)*#REF!*100/#REF!)</f>
        <v>0</v>
      </c>
      <c r="Q75" s="6"/>
      <c r="R75" s="7">
        <f t="shared" ref="R75:R82" si="22">IF(Q75=0,,($Q$9-Q75)*$Q$7*100/$Q$9)</f>
        <v>0</v>
      </c>
      <c r="S75" s="6"/>
      <c r="T75" s="7">
        <f t="shared" ref="T75:T82" si="23">IF(S75=0,,($S$9-S75)*$S$7*100/$S$9)</f>
        <v>0</v>
      </c>
      <c r="U75" s="6"/>
      <c r="V75" s="7">
        <f>IF(U75=0,,(#REF!-U75)*#REF!*100/#REF!)</f>
        <v>0</v>
      </c>
      <c r="W75" s="6"/>
      <c r="X75" s="7">
        <f t="shared" ref="X75:X82" si="24">IF(W75=0,,($W$9-W75)*$W$7*100/$W$9)</f>
        <v>0</v>
      </c>
      <c r="Y75" s="8">
        <f t="shared" ref="Y75:Y82" si="25">SUM(F75,H75,L75,J75,,N75,P75,R75,T75,V75,X75)</f>
        <v>37.5</v>
      </c>
      <c r="Z75" s="6">
        <f t="shared" si="17"/>
        <v>65</v>
      </c>
    </row>
    <row r="76" spans="1:26" x14ac:dyDescent="0.3">
      <c r="A76" s="19">
        <v>68</v>
      </c>
      <c r="B76" s="13" t="s">
        <v>592</v>
      </c>
      <c r="C76" s="13" t="s">
        <v>347</v>
      </c>
      <c r="D76" s="13" t="s">
        <v>278</v>
      </c>
      <c r="E76" s="6"/>
      <c r="F76" s="6">
        <f>IF(E76=0,,$E$9+1-E76)</f>
        <v>0</v>
      </c>
      <c r="G76" s="6"/>
      <c r="H76" s="7">
        <f>IF(G76=0,,($G$9-G76)*$G$7*100/$G$9)</f>
        <v>0</v>
      </c>
      <c r="I76" s="6"/>
      <c r="J76" s="7">
        <f>IF(I76=0,,($I$9-I76)*$I$7*100/$I$9)</f>
        <v>0</v>
      </c>
      <c r="K76" s="13">
        <v>71</v>
      </c>
      <c r="L76" s="7">
        <f>IF(K76=0,,($K$9-K76)*$K$7*100/$K$9)</f>
        <v>33.75</v>
      </c>
      <c r="M76" s="6"/>
      <c r="N76" s="7">
        <f>IF(M76=0,,($M$9-M76)*$M$7*100/$M$9)</f>
        <v>0</v>
      </c>
      <c r="O76" s="6"/>
      <c r="P76" s="7">
        <f>IF(O76=0,,(#REF!-O76)*#REF!*100/#REF!)</f>
        <v>0</v>
      </c>
      <c r="Q76" s="6"/>
      <c r="R76" s="7">
        <f t="shared" si="22"/>
        <v>0</v>
      </c>
      <c r="S76" s="6"/>
      <c r="T76" s="7">
        <f t="shared" si="23"/>
        <v>0</v>
      </c>
      <c r="U76" s="6"/>
      <c r="V76" s="7">
        <f>IF(U76=0,,(#REF!-U76)*#REF!*100/#REF!)</f>
        <v>0</v>
      </c>
      <c r="W76" s="6"/>
      <c r="X76" s="7">
        <f t="shared" si="24"/>
        <v>0</v>
      </c>
      <c r="Y76" s="8">
        <f t="shared" si="25"/>
        <v>33.75</v>
      </c>
      <c r="Z76" s="6">
        <f t="shared" si="17"/>
        <v>66</v>
      </c>
    </row>
    <row r="77" spans="1:26" x14ac:dyDescent="0.3">
      <c r="A77" s="19">
        <v>69</v>
      </c>
      <c r="B77" s="13" t="s">
        <v>824</v>
      </c>
      <c r="C77" s="13" t="s">
        <v>825</v>
      </c>
      <c r="D77" s="13" t="s">
        <v>790</v>
      </c>
      <c r="E77" s="6"/>
      <c r="F77" s="6"/>
      <c r="G77" s="6"/>
      <c r="H77" s="6"/>
      <c r="I77" s="6"/>
      <c r="J77" s="7"/>
      <c r="K77" s="13"/>
      <c r="L77" s="7"/>
      <c r="M77" s="6"/>
      <c r="N77" s="7"/>
      <c r="O77" s="6"/>
      <c r="P77" s="7"/>
      <c r="Q77" s="6">
        <v>42</v>
      </c>
      <c r="R77" s="7">
        <f t="shared" si="22"/>
        <v>31.914893617021278</v>
      </c>
      <c r="S77" s="6"/>
      <c r="T77" s="7">
        <f t="shared" si="23"/>
        <v>0</v>
      </c>
      <c r="U77" s="6"/>
      <c r="V77" s="7"/>
      <c r="W77" s="6"/>
      <c r="X77" s="7">
        <f t="shared" si="24"/>
        <v>0</v>
      </c>
      <c r="Y77" s="8">
        <f t="shared" si="25"/>
        <v>31.914893617021278</v>
      </c>
      <c r="Z77" s="6">
        <f t="shared" si="17"/>
        <v>67</v>
      </c>
    </row>
    <row r="78" spans="1:26" x14ac:dyDescent="0.3">
      <c r="A78" s="19">
        <v>70</v>
      </c>
      <c r="B78" s="13" t="s">
        <v>562</v>
      </c>
      <c r="C78" s="13" t="s">
        <v>593</v>
      </c>
      <c r="D78" s="13" t="s">
        <v>278</v>
      </c>
      <c r="E78" s="6"/>
      <c r="F78" s="6">
        <f>IF(E78=0,,$E$9+1-E78)</f>
        <v>0</v>
      </c>
      <c r="G78" s="6"/>
      <c r="H78" s="7">
        <f>IF(G78=0,,($G$9-G78)*$G$7*100/$G$9)</f>
        <v>0</v>
      </c>
      <c r="I78" s="6"/>
      <c r="J78" s="7">
        <f>IF(I78=0,,($I$9-I78)*$I$7*100/$I$9)</f>
        <v>0</v>
      </c>
      <c r="K78" s="13">
        <v>72</v>
      </c>
      <c r="L78" s="7">
        <f>IF(K78=0,,($K$9-K78)*$K$7*100/$K$9)</f>
        <v>30</v>
      </c>
      <c r="M78" s="6"/>
      <c r="N78" s="7">
        <f>IF(M78=0,,($M$9-M78)*$M$7*100/$M$9)</f>
        <v>0</v>
      </c>
      <c r="O78" s="6"/>
      <c r="P78" s="7">
        <f>IF(O78=0,,(#REF!-O78)*#REF!*100/#REF!)</f>
        <v>0</v>
      </c>
      <c r="Q78" s="6"/>
      <c r="R78" s="7">
        <f t="shared" si="22"/>
        <v>0</v>
      </c>
      <c r="S78" s="6"/>
      <c r="T78" s="7">
        <f t="shared" si="23"/>
        <v>0</v>
      </c>
      <c r="U78" s="6"/>
      <c r="V78" s="7">
        <f>IF(U78=0,,(#REF!-U78)*#REF!*100/#REF!)</f>
        <v>0</v>
      </c>
      <c r="W78" s="6"/>
      <c r="X78" s="7">
        <f t="shared" si="24"/>
        <v>0</v>
      </c>
      <c r="Y78" s="8">
        <f t="shared" si="25"/>
        <v>30</v>
      </c>
      <c r="Z78" s="6">
        <f t="shared" si="17"/>
        <v>68</v>
      </c>
    </row>
    <row r="79" spans="1:26" x14ac:dyDescent="0.3">
      <c r="A79" s="19">
        <v>71</v>
      </c>
      <c r="B79" s="13" t="s">
        <v>826</v>
      </c>
      <c r="C79" s="13" t="s">
        <v>827</v>
      </c>
      <c r="D79" s="13" t="s">
        <v>408</v>
      </c>
      <c r="E79" s="6"/>
      <c r="F79" s="6"/>
      <c r="G79" s="6"/>
      <c r="H79" s="6"/>
      <c r="I79" s="6"/>
      <c r="J79" s="7"/>
      <c r="K79" s="13"/>
      <c r="L79" s="7"/>
      <c r="M79" s="6"/>
      <c r="N79" s="7"/>
      <c r="O79" s="6"/>
      <c r="P79" s="7"/>
      <c r="Q79" s="6">
        <v>44</v>
      </c>
      <c r="R79" s="7">
        <f t="shared" si="22"/>
        <v>19.148936170212767</v>
      </c>
      <c r="S79" s="6"/>
      <c r="T79" s="7">
        <f t="shared" si="23"/>
        <v>0</v>
      </c>
      <c r="U79" s="6"/>
      <c r="V79" s="7"/>
      <c r="W79" s="6"/>
      <c r="X79" s="7">
        <f t="shared" si="24"/>
        <v>0</v>
      </c>
      <c r="Y79" s="8">
        <f t="shared" si="25"/>
        <v>19.148936170212767</v>
      </c>
      <c r="Z79" s="6">
        <f t="shared" si="17"/>
        <v>69</v>
      </c>
    </row>
    <row r="80" spans="1:26" x14ac:dyDescent="0.3">
      <c r="A80" s="19">
        <v>72</v>
      </c>
      <c r="B80" s="13" t="s">
        <v>828</v>
      </c>
      <c r="C80" s="13" t="s">
        <v>829</v>
      </c>
      <c r="D80" s="13" t="s">
        <v>729</v>
      </c>
      <c r="E80" s="6"/>
      <c r="F80" s="6"/>
      <c r="G80" s="6"/>
      <c r="H80" s="6"/>
      <c r="I80" s="6"/>
      <c r="J80" s="7"/>
      <c r="K80" s="13"/>
      <c r="L80" s="7"/>
      <c r="M80" s="6"/>
      <c r="N80" s="7"/>
      <c r="O80" s="6"/>
      <c r="P80" s="7"/>
      <c r="Q80" s="6">
        <v>45</v>
      </c>
      <c r="R80" s="7">
        <f t="shared" si="22"/>
        <v>12.76595744680851</v>
      </c>
      <c r="S80" s="6"/>
      <c r="T80" s="7">
        <f t="shared" si="23"/>
        <v>0</v>
      </c>
      <c r="U80" s="6"/>
      <c r="V80" s="7"/>
      <c r="W80" s="6"/>
      <c r="X80" s="7">
        <f t="shared" si="24"/>
        <v>0</v>
      </c>
      <c r="Y80" s="8">
        <f t="shared" si="25"/>
        <v>12.76595744680851</v>
      </c>
      <c r="Z80" s="6">
        <f t="shared" si="17"/>
        <v>70</v>
      </c>
    </row>
    <row r="81" spans="1:26" x14ac:dyDescent="0.3">
      <c r="A81" s="19">
        <v>73</v>
      </c>
      <c r="B81" s="13" t="s">
        <v>598</v>
      </c>
      <c r="C81" s="13" t="s">
        <v>599</v>
      </c>
      <c r="D81" s="13" t="s">
        <v>131</v>
      </c>
      <c r="E81" s="6"/>
      <c r="F81" s="6">
        <f>IF(E81=0,,$E$9+1-E81)</f>
        <v>0</v>
      </c>
      <c r="G81" s="6"/>
      <c r="H81" s="7">
        <f>IF(G81=0,,($G$9-G81)*$G$7*100/$G$9)</f>
        <v>0</v>
      </c>
      <c r="I81" s="6"/>
      <c r="J81" s="7">
        <f>IF(I81=0,,($I$9-I81)*$I$7*100/$I$9)</f>
        <v>0</v>
      </c>
      <c r="K81" s="13">
        <v>77</v>
      </c>
      <c r="L81" s="7">
        <f>IF(K81=0,,($K$9-K81)*$K$7*100/$K$9)</f>
        <v>11.25</v>
      </c>
      <c r="M81" s="6"/>
      <c r="N81" s="7">
        <f>IF(M81=0,,($M$9-M81)*$M$7*100/$M$9)</f>
        <v>0</v>
      </c>
      <c r="O81" s="6"/>
      <c r="P81" s="7">
        <f>IF(O81=0,,(#REF!-O81)*#REF!*100/#REF!)</f>
        <v>0</v>
      </c>
      <c r="Q81" s="6"/>
      <c r="R81" s="7">
        <f t="shared" si="22"/>
        <v>0</v>
      </c>
      <c r="S81" s="6"/>
      <c r="T81" s="7">
        <f t="shared" si="23"/>
        <v>0</v>
      </c>
      <c r="U81" s="6"/>
      <c r="V81" s="7">
        <f>IF(U81=0,,(#REF!-U81)*#REF!*100/#REF!)</f>
        <v>0</v>
      </c>
      <c r="W81" s="6"/>
      <c r="X81" s="7">
        <f t="shared" si="24"/>
        <v>0</v>
      </c>
      <c r="Y81" s="8">
        <f t="shared" si="25"/>
        <v>11.25</v>
      </c>
      <c r="Z81" s="6">
        <f t="shared" si="17"/>
        <v>71</v>
      </c>
    </row>
    <row r="82" spans="1:26" x14ac:dyDescent="0.3">
      <c r="A82" s="19">
        <v>74</v>
      </c>
      <c r="B82" s="13" t="s">
        <v>600</v>
      </c>
      <c r="C82" s="13" t="s">
        <v>601</v>
      </c>
      <c r="D82" s="13" t="s">
        <v>278</v>
      </c>
      <c r="E82" s="6"/>
      <c r="F82" s="6">
        <f>IF(E82=0,,$E$9+1-E82)</f>
        <v>0</v>
      </c>
      <c r="G82" s="6"/>
      <c r="H82" s="7">
        <f>IF(G82=0,,($G$9-G82)*$G$7*100/$G$9)</f>
        <v>0</v>
      </c>
      <c r="I82" s="6"/>
      <c r="J82" s="7">
        <f>IF(I82=0,,($I$9-I82)*$I$7*100/$I$9)</f>
        <v>0</v>
      </c>
      <c r="K82" s="13">
        <v>78</v>
      </c>
      <c r="L82" s="7">
        <f>IF(K82=0,,($K$9-K82)*$K$7*100/$K$9)</f>
        <v>7.5</v>
      </c>
      <c r="M82" s="6"/>
      <c r="N82" s="7">
        <f>IF(M82=0,,($M$9-M82)*$M$7*100/$M$9)</f>
        <v>0</v>
      </c>
      <c r="O82" s="6"/>
      <c r="P82" s="7">
        <f>IF(O82=0,,(#REF!-O82)*#REF!*100/#REF!)</f>
        <v>0</v>
      </c>
      <c r="Q82" s="6"/>
      <c r="R82" s="7">
        <f t="shared" si="22"/>
        <v>0</v>
      </c>
      <c r="S82" s="6"/>
      <c r="T82" s="7">
        <f t="shared" si="23"/>
        <v>0</v>
      </c>
      <c r="U82" s="6"/>
      <c r="V82" s="7">
        <f>IF(U82=0,,(#REF!-U82)*#REF!*100/#REF!)</f>
        <v>0</v>
      </c>
      <c r="W82" s="6"/>
      <c r="X82" s="7">
        <f t="shared" si="24"/>
        <v>0</v>
      </c>
      <c r="Y82" s="8">
        <f t="shared" si="25"/>
        <v>7.5</v>
      </c>
      <c r="Z82" s="6">
        <f t="shared" si="17"/>
        <v>72</v>
      </c>
    </row>
    <row r="83" spans="1:26" x14ac:dyDescent="0.3">
      <c r="A83" s="45" t="s">
        <v>11</v>
      </c>
      <c r="B83" s="45"/>
      <c r="C83" s="46"/>
      <c r="E83">
        <f>COUNTA(E11:E33)</f>
        <v>8</v>
      </c>
      <c r="G83">
        <f>COUNTA(G11:G33)</f>
        <v>5</v>
      </c>
      <c r="I83">
        <f>COUNTA(I11:I33)</f>
        <v>4</v>
      </c>
      <c r="K83" s="24">
        <f>COUNTA(K11:K65)</f>
        <v>38</v>
      </c>
    </row>
  </sheetData>
  <sortState xmlns:xlrd2="http://schemas.microsoft.com/office/spreadsheetml/2017/richdata2" ref="B11:Y82">
    <sortCondition descending="1" ref="Y11:Y82"/>
  </sortState>
  <mergeCells count="42">
    <mergeCell ref="O9:P9"/>
    <mergeCell ref="Q9:R9"/>
    <mergeCell ref="W6:X6"/>
    <mergeCell ref="W7:X7"/>
    <mergeCell ref="W8:X8"/>
    <mergeCell ref="W9:X9"/>
    <mergeCell ref="U6:V6"/>
    <mergeCell ref="U7:V7"/>
    <mergeCell ref="U8:V8"/>
    <mergeCell ref="U9:V9"/>
    <mergeCell ref="I8:J8"/>
    <mergeCell ref="I9:J9"/>
    <mergeCell ref="S6:T6"/>
    <mergeCell ref="S7:T7"/>
    <mergeCell ref="S8:T8"/>
    <mergeCell ref="S9:T9"/>
    <mergeCell ref="M6:N6"/>
    <mergeCell ref="O6:P6"/>
    <mergeCell ref="Q6:R6"/>
    <mergeCell ref="M7:N7"/>
    <mergeCell ref="O7:P7"/>
    <mergeCell ref="Q7:R7"/>
    <mergeCell ref="M8:N8"/>
    <mergeCell ref="O8:P8"/>
    <mergeCell ref="Q8:R8"/>
    <mergeCell ref="M9:N9"/>
    <mergeCell ref="A83:C83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5"/>
  <sheetViews>
    <sheetView zoomScale="118" workbookViewId="0">
      <pane xSplit="3" ySplit="10" topLeftCell="T11" activePane="bottomRight" state="frozenSplit"/>
      <selection activeCell="B6" sqref="B6"/>
      <selection pane="topRight" activeCell="B6" sqref="B6"/>
      <selection pane="bottomLeft" activeCell="B6" sqref="B6"/>
      <selection pane="bottomRight" activeCell="AD6" sqref="AD6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22" max="22" width="13.109375" customWidth="1"/>
    <col min="24" max="24" width="13.109375" customWidth="1"/>
    <col min="26" max="26" width="12.6640625" customWidth="1"/>
    <col min="28" max="28" width="13" customWidth="1"/>
  </cols>
  <sheetData>
    <row r="1" spans="1:31" ht="31.2" x14ac:dyDescent="0.6">
      <c r="A1" s="47" t="s">
        <v>61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3" spans="1:31" x14ac:dyDescent="0.3">
      <c r="B3" s="2"/>
    </row>
    <row r="4" spans="1:31" x14ac:dyDescent="0.3">
      <c r="B4" s="2"/>
      <c r="C4" s="3"/>
    </row>
    <row r="6" spans="1:31" ht="27" customHeight="1" x14ac:dyDescent="0.3">
      <c r="D6" s="1" t="s">
        <v>0</v>
      </c>
      <c r="E6" s="48" t="s">
        <v>64</v>
      </c>
      <c r="F6" s="48"/>
      <c r="G6" s="48" t="s">
        <v>65</v>
      </c>
      <c r="H6" s="48"/>
      <c r="I6" s="48" t="s">
        <v>606</v>
      </c>
      <c r="J6" s="48"/>
      <c r="K6" s="48" t="s">
        <v>665</v>
      </c>
      <c r="L6" s="48"/>
      <c r="M6" s="48" t="s">
        <v>666</v>
      </c>
      <c r="N6" s="48"/>
      <c r="O6" s="48" t="s">
        <v>71</v>
      </c>
      <c r="P6" s="48"/>
      <c r="Q6" s="50" t="s">
        <v>98</v>
      </c>
      <c r="R6" s="50"/>
      <c r="S6" s="48" t="s">
        <v>76</v>
      </c>
      <c r="T6" s="48"/>
      <c r="U6" s="48" t="s">
        <v>80</v>
      </c>
      <c r="V6" s="48"/>
      <c r="W6" s="48" t="s">
        <v>81</v>
      </c>
      <c r="X6" s="48"/>
      <c r="Y6" s="41"/>
      <c r="Z6" s="41"/>
      <c r="AA6" s="41"/>
      <c r="AB6" s="41"/>
    </row>
    <row r="7" spans="1:31" x14ac:dyDescent="0.3">
      <c r="D7" s="1" t="s">
        <v>10</v>
      </c>
      <c r="E7" s="42">
        <v>5</v>
      </c>
      <c r="F7" s="43"/>
      <c r="G7" s="42">
        <v>5</v>
      </c>
      <c r="H7" s="43"/>
      <c r="I7" s="42">
        <v>2</v>
      </c>
      <c r="J7" s="43"/>
      <c r="K7" s="42">
        <v>5</v>
      </c>
      <c r="L7" s="43"/>
      <c r="M7" s="42">
        <v>2</v>
      </c>
      <c r="N7" s="43"/>
      <c r="O7" s="42">
        <v>5</v>
      </c>
      <c r="P7" s="43"/>
      <c r="Q7" s="42">
        <v>3</v>
      </c>
      <c r="R7" s="43"/>
      <c r="S7" s="42">
        <v>5</v>
      </c>
      <c r="T7" s="43"/>
      <c r="U7" s="42">
        <v>2</v>
      </c>
      <c r="V7" s="43"/>
      <c r="W7" s="42">
        <v>6</v>
      </c>
      <c r="X7" s="43"/>
      <c r="Y7" s="42"/>
      <c r="Z7" s="43"/>
      <c r="AA7" s="42"/>
      <c r="AB7" s="43"/>
    </row>
    <row r="8" spans="1:31" x14ac:dyDescent="0.3">
      <c r="D8" s="1" t="s">
        <v>1</v>
      </c>
      <c r="E8" s="44" t="s">
        <v>63</v>
      </c>
      <c r="F8" s="44"/>
      <c r="G8" s="44" t="s">
        <v>66</v>
      </c>
      <c r="H8" s="44"/>
      <c r="I8" s="44">
        <v>45277</v>
      </c>
      <c r="J8" s="44"/>
      <c r="K8" s="44">
        <v>45304</v>
      </c>
      <c r="L8" s="44"/>
      <c r="M8" s="44">
        <v>45305</v>
      </c>
      <c r="N8" s="44"/>
      <c r="O8" s="44" t="s">
        <v>72</v>
      </c>
      <c r="P8" s="44"/>
      <c r="Q8" s="44">
        <v>45389</v>
      </c>
      <c r="R8" s="44"/>
      <c r="S8" s="44" t="s">
        <v>77</v>
      </c>
      <c r="T8" s="44"/>
      <c r="U8" s="44">
        <v>45431</v>
      </c>
      <c r="V8" s="44"/>
      <c r="W8" s="44" t="s">
        <v>78</v>
      </c>
      <c r="X8" s="44"/>
      <c r="Y8" s="44"/>
      <c r="Z8" s="44"/>
      <c r="AA8" s="44"/>
      <c r="AB8" s="44"/>
    </row>
    <row r="9" spans="1:31" x14ac:dyDescent="0.3">
      <c r="D9" s="1" t="s">
        <v>2</v>
      </c>
      <c r="E9" s="41">
        <v>0</v>
      </c>
      <c r="F9" s="41"/>
      <c r="G9" s="41">
        <v>142</v>
      </c>
      <c r="H9" s="41"/>
      <c r="I9" s="41">
        <v>24</v>
      </c>
      <c r="J9" s="41"/>
      <c r="K9" s="41">
        <v>170</v>
      </c>
      <c r="L9" s="41"/>
      <c r="M9" s="41">
        <v>0</v>
      </c>
      <c r="N9" s="41"/>
      <c r="O9" s="41">
        <v>133</v>
      </c>
      <c r="P9" s="41"/>
      <c r="Q9" s="41">
        <v>18</v>
      </c>
      <c r="R9" s="41"/>
      <c r="S9" s="41">
        <v>0</v>
      </c>
      <c r="T9" s="41"/>
      <c r="U9" s="41">
        <v>0</v>
      </c>
      <c r="V9" s="41"/>
      <c r="W9" s="41">
        <v>85</v>
      </c>
      <c r="X9" s="41"/>
      <c r="Y9" s="41"/>
      <c r="Z9" s="41"/>
      <c r="AA9" s="41"/>
      <c r="AB9" s="41"/>
    </row>
    <row r="10" spans="1:31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3">
      <c r="A11" s="19">
        <f>AD11</f>
        <v>1</v>
      </c>
      <c r="B11" s="13" t="s">
        <v>121</v>
      </c>
      <c r="C11" s="13" t="s">
        <v>122</v>
      </c>
      <c r="D11" s="23" t="s">
        <v>278</v>
      </c>
      <c r="E11" s="24"/>
      <c r="F11" s="23">
        <f>IF(E11=0,,($E$9-E11)*$E$7*100/$E$9)</f>
        <v>0</v>
      </c>
      <c r="G11" s="24">
        <v>38</v>
      </c>
      <c r="H11" s="23">
        <f>IF(G11=0,,($G$9-G11)*$G$7*100/$G$9)</f>
        <v>366.19718309859155</v>
      </c>
      <c r="I11" s="24"/>
      <c r="J11" s="23">
        <f t="shared" ref="J11:J33" si="0">IF(I11=0,,($I$9-I11)*$I$7*100/$I$9)</f>
        <v>0</v>
      </c>
      <c r="K11" s="24">
        <v>29</v>
      </c>
      <c r="L11" s="23">
        <f t="shared" ref="L11:L33" si="1">IF(K11=0,,($K$9-K11)*$K$7*100/$K$9)</f>
        <v>414.70588235294116</v>
      </c>
      <c r="M11" s="24"/>
      <c r="N11" s="23">
        <f t="shared" ref="N11:N33" si="2">IF(M11=0,,($M$9-M11)*$M$7*100/$M$9)</f>
        <v>0</v>
      </c>
      <c r="O11" s="24">
        <v>35</v>
      </c>
      <c r="P11" s="23">
        <f t="shared" ref="P11:P28" si="3">IF(O11=0,,($O$9-O11)*$O$7*100/$O$9)</f>
        <v>368.42105263157896</v>
      </c>
      <c r="Q11" s="24"/>
      <c r="R11" s="23">
        <f t="shared" ref="R11:R33" si="4">IF(Q11=0,,($Q$9-Q11)*$Q$7*100/$Q$9)</f>
        <v>0</v>
      </c>
      <c r="S11" s="24"/>
      <c r="T11" s="23">
        <f t="shared" ref="T11:T33" si="5">IF(S11=0,,($M$9-S11)*$M$7*100/$M$9)</f>
        <v>0</v>
      </c>
      <c r="U11" s="24"/>
      <c r="V11" s="23">
        <f t="shared" ref="V11:V33" si="6">IF(U11=0,,($M$9-U11)*$M$7*100/$M$9)</f>
        <v>0</v>
      </c>
      <c r="W11" s="24">
        <v>8</v>
      </c>
      <c r="X11" s="23">
        <f t="shared" ref="X11:X34" si="7">IF(W11=0,,($W$9-W11)*$W$7*100/$W$9)</f>
        <v>543.52941176470586</v>
      </c>
      <c r="Y11" s="24"/>
      <c r="Z11" s="23">
        <f t="shared" ref="Z11:Z33" si="8">IF(Y11=0,,($M$9-Y11)*$M$7*100/$M$9)</f>
        <v>0</v>
      </c>
      <c r="AA11" s="24"/>
      <c r="AB11" s="23">
        <f t="shared" ref="AB11:AB33" si="9">IF(AA11=0,,($M$9-AA11)*$M$7*100/$M$9)</f>
        <v>0</v>
      </c>
      <c r="AC11" s="25">
        <f t="shared" ref="AC11:AC34" si="10">SUM(F11,H11,L11,J11,N11,P11,R11,T11,V11,X11)</f>
        <v>1692.8535298478175</v>
      </c>
      <c r="AD11" s="23">
        <f t="shared" ref="AD11:AD20" si="11">ROW(B11)-10</f>
        <v>1</v>
      </c>
      <c r="AE11" s="24"/>
    </row>
    <row r="12" spans="1:31" x14ac:dyDescent="0.3">
      <c r="A12" s="19">
        <f t="shared" ref="A12:A14" si="12">AD12</f>
        <v>2</v>
      </c>
      <c r="B12" s="13" t="s">
        <v>612</v>
      </c>
      <c r="C12" s="13" t="s">
        <v>613</v>
      </c>
      <c r="D12" s="13" t="s">
        <v>278</v>
      </c>
      <c r="E12" s="23"/>
      <c r="F12" s="23">
        <f>IF(E12=0,,($E$9-E12)*$E$7*100/$E$9)</f>
        <v>0</v>
      </c>
      <c r="G12" s="23"/>
      <c r="H12" s="23">
        <f>IF(G12=0,,($E$9-G12)*$E$7*100/$E$9)</f>
        <v>0</v>
      </c>
      <c r="I12" s="23">
        <v>11</v>
      </c>
      <c r="J12" s="23">
        <f t="shared" si="0"/>
        <v>108.33333333333333</v>
      </c>
      <c r="K12" s="23"/>
      <c r="L12" s="23">
        <f t="shared" si="1"/>
        <v>0</v>
      </c>
      <c r="M12" s="23"/>
      <c r="N12" s="23">
        <f t="shared" si="2"/>
        <v>0</v>
      </c>
      <c r="O12" s="23"/>
      <c r="P12" s="23">
        <f t="shared" si="3"/>
        <v>0</v>
      </c>
      <c r="Q12" s="23">
        <v>2</v>
      </c>
      <c r="R12" s="23">
        <f t="shared" si="4"/>
        <v>266.66666666666669</v>
      </c>
      <c r="S12" s="23"/>
      <c r="T12" s="23">
        <f t="shared" si="5"/>
        <v>0</v>
      </c>
      <c r="U12" s="23"/>
      <c r="V12" s="23">
        <f t="shared" si="6"/>
        <v>0</v>
      </c>
      <c r="W12" s="23">
        <v>45</v>
      </c>
      <c r="X12" s="23">
        <f t="shared" si="7"/>
        <v>282.35294117647061</v>
      </c>
      <c r="Y12" s="23"/>
      <c r="Z12" s="23">
        <f t="shared" si="8"/>
        <v>0</v>
      </c>
      <c r="AA12" s="23"/>
      <c r="AB12" s="23">
        <f t="shared" si="9"/>
        <v>0</v>
      </c>
      <c r="AC12" s="25">
        <f t="shared" si="10"/>
        <v>657.35294117647061</v>
      </c>
      <c r="AD12" s="23">
        <f t="shared" si="11"/>
        <v>2</v>
      </c>
      <c r="AE12" s="24"/>
    </row>
    <row r="13" spans="1:31" x14ac:dyDescent="0.3">
      <c r="A13" s="19">
        <f t="shared" si="12"/>
        <v>3</v>
      </c>
      <c r="B13" s="13" t="s">
        <v>608</v>
      </c>
      <c r="C13" s="13" t="s">
        <v>125</v>
      </c>
      <c r="D13" s="13" t="s">
        <v>446</v>
      </c>
      <c r="E13" s="23"/>
      <c r="F13" s="23">
        <f>IF(E13=0,,($E$9-E13)*$E$7*100/$E$9)</f>
        <v>0</v>
      </c>
      <c r="G13" s="23"/>
      <c r="H13" s="23">
        <f>IF(G13=0,,($E$9-G13)*$E$7*100/$E$9)</f>
        <v>0</v>
      </c>
      <c r="I13" s="23">
        <v>9</v>
      </c>
      <c r="J13" s="23">
        <f t="shared" si="0"/>
        <v>125</v>
      </c>
      <c r="K13" s="23"/>
      <c r="L13" s="23">
        <f t="shared" si="1"/>
        <v>0</v>
      </c>
      <c r="M13" s="23"/>
      <c r="N13" s="23">
        <f t="shared" si="2"/>
        <v>0</v>
      </c>
      <c r="O13" s="23">
        <v>111</v>
      </c>
      <c r="P13" s="23">
        <f t="shared" si="3"/>
        <v>82.706766917293237</v>
      </c>
      <c r="Q13" s="23">
        <v>1</v>
      </c>
      <c r="R13" s="23">
        <f t="shared" si="4"/>
        <v>283.33333333333331</v>
      </c>
      <c r="S13" s="23"/>
      <c r="T13" s="23">
        <f t="shared" si="5"/>
        <v>0</v>
      </c>
      <c r="U13" s="23"/>
      <c r="V13" s="23">
        <f t="shared" si="6"/>
        <v>0</v>
      </c>
      <c r="W13" s="23">
        <v>75</v>
      </c>
      <c r="X13" s="23">
        <f t="shared" si="7"/>
        <v>70.588235294117652</v>
      </c>
      <c r="Y13" s="23"/>
      <c r="Z13" s="23">
        <f t="shared" si="8"/>
        <v>0</v>
      </c>
      <c r="AA13" s="23"/>
      <c r="AB13" s="23">
        <f t="shared" si="9"/>
        <v>0</v>
      </c>
      <c r="AC13" s="25">
        <f t="shared" si="10"/>
        <v>561.62833554474423</v>
      </c>
      <c r="AD13" s="21">
        <f t="shared" si="11"/>
        <v>3</v>
      </c>
      <c r="AE13" s="24"/>
    </row>
    <row r="14" spans="1:31" x14ac:dyDescent="0.3">
      <c r="A14" s="19">
        <f t="shared" si="12"/>
        <v>4</v>
      </c>
      <c r="B14" s="13" t="s">
        <v>607</v>
      </c>
      <c r="C14" s="13" t="s">
        <v>199</v>
      </c>
      <c r="D14" s="13" t="s">
        <v>408</v>
      </c>
      <c r="E14" s="23"/>
      <c r="F14" s="23">
        <f>IF(E14=0,,($E$9-E14)*$E$7*100/$E$9)</f>
        <v>0</v>
      </c>
      <c r="G14" s="23"/>
      <c r="H14" s="23">
        <f>IF(G14=0,,($E$9-G14)*$E$7*100/$E$9)</f>
        <v>0</v>
      </c>
      <c r="I14" s="23">
        <v>8</v>
      </c>
      <c r="J14" s="23">
        <f t="shared" si="0"/>
        <v>133.33333333333334</v>
      </c>
      <c r="K14" s="23"/>
      <c r="L14" s="23">
        <f t="shared" si="1"/>
        <v>0</v>
      </c>
      <c r="M14" s="23"/>
      <c r="N14" s="23">
        <f t="shared" si="2"/>
        <v>0</v>
      </c>
      <c r="O14" s="23"/>
      <c r="P14" s="23">
        <f t="shared" si="3"/>
        <v>0</v>
      </c>
      <c r="Q14" s="23">
        <v>5</v>
      </c>
      <c r="R14" s="23">
        <f t="shared" si="4"/>
        <v>216.66666666666666</v>
      </c>
      <c r="S14" s="23"/>
      <c r="T14" s="23">
        <f t="shared" si="5"/>
        <v>0</v>
      </c>
      <c r="U14" s="23"/>
      <c r="V14" s="23">
        <f t="shared" si="6"/>
        <v>0</v>
      </c>
      <c r="W14" s="23"/>
      <c r="X14" s="23">
        <f t="shared" si="7"/>
        <v>0</v>
      </c>
      <c r="Y14" s="23"/>
      <c r="Z14" s="23">
        <f t="shared" si="8"/>
        <v>0</v>
      </c>
      <c r="AA14" s="23"/>
      <c r="AB14" s="23">
        <f t="shared" si="9"/>
        <v>0</v>
      </c>
      <c r="AC14" s="25">
        <f t="shared" si="10"/>
        <v>350</v>
      </c>
      <c r="AD14" s="23">
        <f t="shared" si="11"/>
        <v>4</v>
      </c>
      <c r="AE14" s="24"/>
    </row>
    <row r="15" spans="1:31" x14ac:dyDescent="0.3">
      <c r="A15" s="19">
        <v>5</v>
      </c>
      <c r="B15" s="21" t="s">
        <v>618</v>
      </c>
      <c r="C15" s="21" t="s">
        <v>619</v>
      </c>
      <c r="D15" s="21" t="s">
        <v>446</v>
      </c>
      <c r="E15" s="6"/>
      <c r="F15" s="6">
        <f>IF(E15=0,,$E$9+1-E15)</f>
        <v>0</v>
      </c>
      <c r="G15" s="6"/>
      <c r="H15" s="6">
        <f>IF(G15=0,,$E$9+1-G15)</f>
        <v>0</v>
      </c>
      <c r="I15" s="21">
        <v>16</v>
      </c>
      <c r="J15" s="23">
        <f t="shared" si="0"/>
        <v>66.666666666666671</v>
      </c>
      <c r="K15" s="6"/>
      <c r="L15" s="7">
        <f t="shared" si="1"/>
        <v>0</v>
      </c>
      <c r="M15" s="6"/>
      <c r="N15" s="28">
        <f t="shared" si="2"/>
        <v>0</v>
      </c>
      <c r="O15" s="13">
        <v>97</v>
      </c>
      <c r="P15" s="23">
        <f t="shared" si="3"/>
        <v>135.33834586466165</v>
      </c>
      <c r="Q15" s="29">
        <v>11</v>
      </c>
      <c r="R15" s="23">
        <f t="shared" si="4"/>
        <v>116.66666666666667</v>
      </c>
      <c r="S15" s="29"/>
      <c r="T15" s="28">
        <f t="shared" si="5"/>
        <v>0</v>
      </c>
      <c r="U15" s="6"/>
      <c r="V15" s="22">
        <f t="shared" si="6"/>
        <v>0</v>
      </c>
      <c r="W15" s="21"/>
      <c r="X15" s="23">
        <f t="shared" si="7"/>
        <v>0</v>
      </c>
      <c r="Y15" s="21"/>
      <c r="Z15" s="22">
        <f t="shared" si="8"/>
        <v>0</v>
      </c>
      <c r="AA15" s="21"/>
      <c r="AB15" s="22">
        <f t="shared" si="9"/>
        <v>0</v>
      </c>
      <c r="AC15" s="25">
        <f t="shared" si="10"/>
        <v>318.67167919799499</v>
      </c>
      <c r="AD15" s="23">
        <f t="shared" si="11"/>
        <v>5</v>
      </c>
      <c r="AE15" s="24"/>
    </row>
    <row r="16" spans="1:31" x14ac:dyDescent="0.3">
      <c r="A16" s="19">
        <v>6</v>
      </c>
      <c r="B16" s="13" t="s">
        <v>614</v>
      </c>
      <c r="C16" s="13" t="s">
        <v>615</v>
      </c>
      <c r="D16" s="13" t="s">
        <v>408</v>
      </c>
      <c r="E16" s="13"/>
      <c r="F16" s="13">
        <f>IF(E16=0,,$E$9+1-E16)</f>
        <v>0</v>
      </c>
      <c r="G16" s="13"/>
      <c r="H16" s="13">
        <f>IF(G16=0,,$E$9+1-G16)</f>
        <v>0</v>
      </c>
      <c r="I16" s="13">
        <v>12</v>
      </c>
      <c r="J16" s="23">
        <f t="shared" si="0"/>
        <v>100</v>
      </c>
      <c r="K16" s="13"/>
      <c r="L16" s="23">
        <f t="shared" si="1"/>
        <v>0</v>
      </c>
      <c r="M16" s="13"/>
      <c r="N16" s="23">
        <f t="shared" si="2"/>
        <v>0</v>
      </c>
      <c r="O16" s="13"/>
      <c r="P16" s="23">
        <f t="shared" si="3"/>
        <v>0</v>
      </c>
      <c r="Q16" s="13">
        <v>7</v>
      </c>
      <c r="R16" s="23">
        <f t="shared" si="4"/>
        <v>183.33333333333334</v>
      </c>
      <c r="S16" s="13"/>
      <c r="T16" s="23">
        <f t="shared" si="5"/>
        <v>0</v>
      </c>
      <c r="U16" s="13"/>
      <c r="V16" s="23">
        <f t="shared" si="6"/>
        <v>0</v>
      </c>
      <c r="W16" s="13"/>
      <c r="X16" s="23">
        <f t="shared" si="7"/>
        <v>0</v>
      </c>
      <c r="Y16" s="13"/>
      <c r="Z16" s="23">
        <f t="shared" si="8"/>
        <v>0</v>
      </c>
      <c r="AA16" s="13"/>
      <c r="AB16" s="23">
        <f t="shared" si="9"/>
        <v>0</v>
      </c>
      <c r="AC16" s="25">
        <f t="shared" si="10"/>
        <v>283.33333333333337</v>
      </c>
      <c r="AD16" s="23">
        <f t="shared" si="11"/>
        <v>6</v>
      </c>
      <c r="AE16" s="24"/>
    </row>
    <row r="17" spans="1:31" x14ac:dyDescent="0.3">
      <c r="A17" s="19">
        <v>7</v>
      </c>
      <c r="B17" s="21" t="s">
        <v>782</v>
      </c>
      <c r="C17" s="21" t="s">
        <v>783</v>
      </c>
      <c r="D17" s="21" t="s">
        <v>131</v>
      </c>
      <c r="E17" s="6"/>
      <c r="F17" s="6">
        <f>IF(E17=0,,$E$9+1-E17)</f>
        <v>0</v>
      </c>
      <c r="G17" s="6"/>
      <c r="H17" s="6">
        <f>IF(G17=0,,$E$9+1-G17)</f>
        <v>0</v>
      </c>
      <c r="I17" s="21"/>
      <c r="J17" s="23">
        <f t="shared" si="0"/>
        <v>0</v>
      </c>
      <c r="K17" s="6"/>
      <c r="L17" s="7">
        <f t="shared" si="1"/>
        <v>0</v>
      </c>
      <c r="M17" s="6"/>
      <c r="N17" s="28">
        <f t="shared" si="2"/>
        <v>0</v>
      </c>
      <c r="O17" s="29"/>
      <c r="P17" s="23">
        <f t="shared" si="3"/>
        <v>0</v>
      </c>
      <c r="Q17" s="13">
        <v>3</v>
      </c>
      <c r="R17" s="23">
        <f t="shared" si="4"/>
        <v>250</v>
      </c>
      <c r="S17" s="29"/>
      <c r="T17" s="28">
        <f t="shared" si="5"/>
        <v>0</v>
      </c>
      <c r="U17" s="6"/>
      <c r="V17" s="22">
        <f t="shared" si="6"/>
        <v>0</v>
      </c>
      <c r="W17" s="21"/>
      <c r="X17" s="23">
        <f t="shared" si="7"/>
        <v>0</v>
      </c>
      <c r="Y17" s="21"/>
      <c r="Z17" s="22">
        <f t="shared" si="8"/>
        <v>0</v>
      </c>
      <c r="AA17" s="21"/>
      <c r="AB17" s="22">
        <f t="shared" si="9"/>
        <v>0</v>
      </c>
      <c r="AC17" s="25">
        <f t="shared" si="10"/>
        <v>250</v>
      </c>
      <c r="AD17" s="23">
        <f t="shared" si="11"/>
        <v>7</v>
      </c>
      <c r="AE17" s="24"/>
    </row>
    <row r="18" spans="1:31" x14ac:dyDescent="0.3">
      <c r="A18" s="19">
        <v>8</v>
      </c>
      <c r="B18" s="21" t="s">
        <v>239</v>
      </c>
      <c r="C18" s="21" t="s">
        <v>323</v>
      </c>
      <c r="D18" s="21" t="s">
        <v>238</v>
      </c>
      <c r="E18" s="6"/>
      <c r="F18" s="6">
        <f>IF(E18=0,,$E$9+1-E18)</f>
        <v>0</v>
      </c>
      <c r="G18" s="6"/>
      <c r="H18" s="6">
        <f>IF(G18=0,,$E$9+1-G18)</f>
        <v>0</v>
      </c>
      <c r="I18" s="21"/>
      <c r="J18" s="23">
        <f t="shared" si="0"/>
        <v>0</v>
      </c>
      <c r="K18" s="6"/>
      <c r="L18" s="7">
        <f t="shared" si="1"/>
        <v>0</v>
      </c>
      <c r="M18" s="6"/>
      <c r="N18" s="28">
        <f t="shared" si="2"/>
        <v>0</v>
      </c>
      <c r="O18" s="29"/>
      <c r="P18" s="23">
        <f t="shared" si="3"/>
        <v>0</v>
      </c>
      <c r="Q18" s="13">
        <v>3</v>
      </c>
      <c r="R18" s="23">
        <f t="shared" si="4"/>
        <v>250</v>
      </c>
      <c r="S18" s="29"/>
      <c r="T18" s="28">
        <f t="shared" si="5"/>
        <v>0</v>
      </c>
      <c r="U18" s="6"/>
      <c r="V18" s="22">
        <f t="shared" si="6"/>
        <v>0</v>
      </c>
      <c r="W18" s="21"/>
      <c r="X18" s="23">
        <f t="shared" si="7"/>
        <v>0</v>
      </c>
      <c r="Y18" s="21"/>
      <c r="Z18" s="22">
        <f t="shared" si="8"/>
        <v>0</v>
      </c>
      <c r="AA18" s="21"/>
      <c r="AB18" s="22">
        <f t="shared" si="9"/>
        <v>0</v>
      </c>
      <c r="AC18" s="25">
        <f t="shared" si="10"/>
        <v>250</v>
      </c>
      <c r="AD18" s="23">
        <f t="shared" si="11"/>
        <v>8</v>
      </c>
      <c r="AE18" s="24"/>
    </row>
    <row r="19" spans="1:31" x14ac:dyDescent="0.3">
      <c r="A19" s="19">
        <v>9</v>
      </c>
      <c r="B19" s="21" t="s">
        <v>265</v>
      </c>
      <c r="C19" s="21" t="s">
        <v>323</v>
      </c>
      <c r="D19" s="21" t="s">
        <v>246</v>
      </c>
      <c r="E19" s="6"/>
      <c r="F19" s="6">
        <f>IF(E19=0,,$E$9+1-E19)</f>
        <v>0</v>
      </c>
      <c r="G19" s="6"/>
      <c r="H19" s="6">
        <f>IF(G19=0,,$E$9+1-G19)</f>
        <v>0</v>
      </c>
      <c r="I19" s="21">
        <v>19</v>
      </c>
      <c r="J19" s="23">
        <f t="shared" si="0"/>
        <v>41.666666666666664</v>
      </c>
      <c r="K19" s="6"/>
      <c r="L19" s="7">
        <f t="shared" si="1"/>
        <v>0</v>
      </c>
      <c r="M19" s="6"/>
      <c r="N19" s="28">
        <f t="shared" si="2"/>
        <v>0</v>
      </c>
      <c r="O19" s="29"/>
      <c r="P19" s="23">
        <f t="shared" si="3"/>
        <v>0</v>
      </c>
      <c r="Q19" s="13">
        <v>6</v>
      </c>
      <c r="R19" s="23">
        <f t="shared" si="4"/>
        <v>200</v>
      </c>
      <c r="S19" s="29"/>
      <c r="T19" s="28">
        <f t="shared" si="5"/>
        <v>0</v>
      </c>
      <c r="U19" s="6"/>
      <c r="V19" s="22">
        <f t="shared" si="6"/>
        <v>0</v>
      </c>
      <c r="W19" s="21"/>
      <c r="X19" s="23">
        <f t="shared" si="7"/>
        <v>0</v>
      </c>
      <c r="Y19" s="21"/>
      <c r="Z19" s="22">
        <f t="shared" si="8"/>
        <v>0</v>
      </c>
      <c r="AA19" s="21"/>
      <c r="AB19" s="22">
        <f t="shared" si="9"/>
        <v>0</v>
      </c>
      <c r="AC19" s="25">
        <f t="shared" si="10"/>
        <v>241.66666666666666</v>
      </c>
      <c r="AD19" s="13">
        <f t="shared" si="11"/>
        <v>9</v>
      </c>
    </row>
    <row r="20" spans="1:31" x14ac:dyDescent="0.3">
      <c r="A20" s="19">
        <v>10</v>
      </c>
      <c r="B20" s="13" t="s">
        <v>605</v>
      </c>
      <c r="C20" s="13" t="s">
        <v>339</v>
      </c>
      <c r="D20" s="13" t="s">
        <v>131</v>
      </c>
      <c r="E20" s="23"/>
      <c r="F20" s="23">
        <f>IF(E20=0,,($E$9-E20)*$E$7*100/$E$9)</f>
        <v>0</v>
      </c>
      <c r="G20" s="23"/>
      <c r="H20" s="23">
        <f>IF(G20=0,,($E$9-G20)*$E$7*100/$E$9)</f>
        <v>0</v>
      </c>
      <c r="I20" s="23">
        <v>3</v>
      </c>
      <c r="J20" s="23">
        <f t="shared" si="0"/>
        <v>175</v>
      </c>
      <c r="K20" s="23"/>
      <c r="L20" s="23">
        <f t="shared" si="1"/>
        <v>0</v>
      </c>
      <c r="M20" s="23"/>
      <c r="N20" s="23">
        <f t="shared" si="2"/>
        <v>0</v>
      </c>
      <c r="O20" s="23"/>
      <c r="P20" s="23">
        <f t="shared" si="3"/>
        <v>0</v>
      </c>
      <c r="Q20" s="23"/>
      <c r="R20" s="23">
        <f t="shared" si="4"/>
        <v>0</v>
      </c>
      <c r="S20" s="23"/>
      <c r="T20" s="23">
        <f t="shared" si="5"/>
        <v>0</v>
      </c>
      <c r="U20" s="23"/>
      <c r="V20" s="23">
        <f t="shared" si="6"/>
        <v>0</v>
      </c>
      <c r="W20" s="23"/>
      <c r="X20" s="23">
        <f t="shared" si="7"/>
        <v>0</v>
      </c>
      <c r="Y20" s="23"/>
      <c r="Z20" s="23">
        <f t="shared" si="8"/>
        <v>0</v>
      </c>
      <c r="AA20" s="23"/>
      <c r="AB20" s="23">
        <f t="shared" si="9"/>
        <v>0</v>
      </c>
      <c r="AC20" s="25">
        <f t="shared" si="10"/>
        <v>175</v>
      </c>
      <c r="AD20" s="21">
        <f t="shared" si="11"/>
        <v>10</v>
      </c>
    </row>
    <row r="21" spans="1:31" x14ac:dyDescent="0.3">
      <c r="A21" s="19">
        <v>11</v>
      </c>
      <c r="B21" s="21" t="s">
        <v>159</v>
      </c>
      <c r="C21" s="21" t="s">
        <v>325</v>
      </c>
      <c r="D21" s="21" t="s">
        <v>408</v>
      </c>
      <c r="E21" s="6"/>
      <c r="F21" s="6">
        <f>IF(E21=0,,$E$9+1-E21)</f>
        <v>0</v>
      </c>
      <c r="G21" s="6"/>
      <c r="H21" s="6">
        <f>IF(G21=0,,$E$9+1-G21)</f>
        <v>0</v>
      </c>
      <c r="I21" s="6"/>
      <c r="J21" s="23">
        <f t="shared" si="0"/>
        <v>0</v>
      </c>
      <c r="K21" s="6"/>
      <c r="L21" s="7">
        <f t="shared" si="1"/>
        <v>0</v>
      </c>
      <c r="M21" s="6"/>
      <c r="N21" s="28">
        <f t="shared" si="2"/>
        <v>0</v>
      </c>
      <c r="O21" s="29"/>
      <c r="P21" s="23">
        <f t="shared" si="3"/>
        <v>0</v>
      </c>
      <c r="Q21" s="29">
        <v>8</v>
      </c>
      <c r="R21" s="23">
        <f t="shared" si="4"/>
        <v>166.66666666666666</v>
      </c>
      <c r="S21" s="29"/>
      <c r="T21" s="28">
        <f t="shared" si="5"/>
        <v>0</v>
      </c>
      <c r="U21" s="6"/>
      <c r="V21" s="22">
        <f t="shared" si="6"/>
        <v>0</v>
      </c>
      <c r="W21" s="21"/>
      <c r="X21" s="23">
        <f t="shared" si="7"/>
        <v>0</v>
      </c>
      <c r="Y21" s="21"/>
      <c r="Z21" s="22">
        <f t="shared" si="8"/>
        <v>0</v>
      </c>
      <c r="AA21" s="21"/>
      <c r="AB21" s="22">
        <f t="shared" si="9"/>
        <v>0</v>
      </c>
      <c r="AC21" s="25">
        <f t="shared" si="10"/>
        <v>166.66666666666666</v>
      </c>
      <c r="AD21" s="21">
        <v>11</v>
      </c>
    </row>
    <row r="22" spans="1:31" x14ac:dyDescent="0.3">
      <c r="A22" s="19">
        <v>12</v>
      </c>
      <c r="B22" s="13" t="s">
        <v>129</v>
      </c>
      <c r="C22" s="13" t="s">
        <v>130</v>
      </c>
      <c r="D22" s="13" t="s">
        <v>131</v>
      </c>
      <c r="E22" s="23"/>
      <c r="F22" s="23">
        <f>IF(E22=0,,($E$9-E22)*$E$7*100/$E$9)</f>
        <v>0</v>
      </c>
      <c r="G22" s="23"/>
      <c r="H22" s="23">
        <f>IF(G22=0,,($E$9-G22)*$E$7*100/$E$9)</f>
        <v>0</v>
      </c>
      <c r="I22" s="23">
        <v>5</v>
      </c>
      <c r="J22" s="23">
        <f t="shared" si="0"/>
        <v>158.33333333333334</v>
      </c>
      <c r="K22" s="23"/>
      <c r="L22" s="23">
        <f t="shared" si="1"/>
        <v>0</v>
      </c>
      <c r="M22" s="23"/>
      <c r="N22" s="23">
        <f t="shared" si="2"/>
        <v>0</v>
      </c>
      <c r="O22" s="23"/>
      <c r="P22" s="23">
        <f t="shared" si="3"/>
        <v>0</v>
      </c>
      <c r="Q22" s="23"/>
      <c r="R22" s="23">
        <f t="shared" si="4"/>
        <v>0</v>
      </c>
      <c r="S22" s="23"/>
      <c r="T22" s="23">
        <f t="shared" si="5"/>
        <v>0</v>
      </c>
      <c r="U22" s="23"/>
      <c r="V22" s="23">
        <f t="shared" si="6"/>
        <v>0</v>
      </c>
      <c r="W22" s="23"/>
      <c r="X22" s="23">
        <f t="shared" si="7"/>
        <v>0</v>
      </c>
      <c r="Y22" s="23"/>
      <c r="Z22" s="23">
        <f t="shared" si="8"/>
        <v>0</v>
      </c>
      <c r="AA22" s="23"/>
      <c r="AB22" s="23">
        <f t="shared" si="9"/>
        <v>0</v>
      </c>
      <c r="AC22" s="25">
        <f t="shared" si="10"/>
        <v>158.33333333333334</v>
      </c>
      <c r="AD22" s="21">
        <v>12</v>
      </c>
    </row>
    <row r="23" spans="1:31" x14ac:dyDescent="0.3">
      <c r="A23" s="13">
        <v>13</v>
      </c>
      <c r="B23" s="21" t="s">
        <v>620</v>
      </c>
      <c r="C23" s="21" t="s">
        <v>621</v>
      </c>
      <c r="D23" s="21" t="s">
        <v>278</v>
      </c>
      <c r="E23" s="6"/>
      <c r="F23" s="6">
        <f>IF(E23=0,,$E$9+1-E23)</f>
        <v>0</v>
      </c>
      <c r="G23" s="6"/>
      <c r="H23" s="6">
        <f>IF(G23=0,,$E$9+1-G23)</f>
        <v>0</v>
      </c>
      <c r="I23" s="21">
        <v>17</v>
      </c>
      <c r="J23" s="23">
        <f t="shared" si="0"/>
        <v>58.333333333333336</v>
      </c>
      <c r="K23" s="6"/>
      <c r="L23" s="7">
        <f t="shared" si="1"/>
        <v>0</v>
      </c>
      <c r="M23" s="6"/>
      <c r="N23" s="28">
        <f t="shared" si="2"/>
        <v>0</v>
      </c>
      <c r="O23" s="29"/>
      <c r="P23" s="23">
        <f t="shared" si="3"/>
        <v>0</v>
      </c>
      <c r="Q23" s="29">
        <v>12</v>
      </c>
      <c r="R23" s="23">
        <f t="shared" si="4"/>
        <v>100</v>
      </c>
      <c r="S23" s="29"/>
      <c r="T23" s="28">
        <f t="shared" si="5"/>
        <v>0</v>
      </c>
      <c r="U23" s="6"/>
      <c r="V23" s="22">
        <f t="shared" si="6"/>
        <v>0</v>
      </c>
      <c r="W23" s="21"/>
      <c r="X23" s="23">
        <f t="shared" si="7"/>
        <v>0</v>
      </c>
      <c r="Y23" s="21"/>
      <c r="Z23" s="22">
        <f t="shared" si="8"/>
        <v>0</v>
      </c>
      <c r="AA23" s="21"/>
      <c r="AB23" s="22">
        <f t="shared" si="9"/>
        <v>0</v>
      </c>
      <c r="AC23" s="25">
        <f t="shared" si="10"/>
        <v>158.33333333333334</v>
      </c>
      <c r="AD23" s="21">
        <v>13</v>
      </c>
    </row>
    <row r="24" spans="1:31" x14ac:dyDescent="0.3">
      <c r="A24" s="19">
        <v>14</v>
      </c>
      <c r="B24" s="21" t="s">
        <v>623</v>
      </c>
      <c r="C24" s="21" t="s">
        <v>624</v>
      </c>
      <c r="D24" s="21" t="s">
        <v>408</v>
      </c>
      <c r="E24" s="6"/>
      <c r="F24" s="6">
        <f>IF(E24=0,,$E$9+1-E24)</f>
        <v>0</v>
      </c>
      <c r="G24" s="6"/>
      <c r="H24" s="6">
        <f>IF(G24=0,,$E$9+1-G24)</f>
        <v>0</v>
      </c>
      <c r="I24" s="21">
        <v>21</v>
      </c>
      <c r="J24" s="23">
        <f t="shared" si="0"/>
        <v>25</v>
      </c>
      <c r="K24" s="6"/>
      <c r="L24" s="7">
        <f t="shared" si="1"/>
        <v>0</v>
      </c>
      <c r="M24" s="6"/>
      <c r="N24" s="28">
        <f t="shared" si="2"/>
        <v>0</v>
      </c>
      <c r="O24" s="29"/>
      <c r="P24" s="23">
        <f t="shared" si="3"/>
        <v>0</v>
      </c>
      <c r="Q24" s="29">
        <v>10</v>
      </c>
      <c r="R24" s="23">
        <f t="shared" si="4"/>
        <v>133.33333333333334</v>
      </c>
      <c r="S24" s="29"/>
      <c r="T24" s="28">
        <f t="shared" si="5"/>
        <v>0</v>
      </c>
      <c r="U24" s="6"/>
      <c r="V24" s="22">
        <f t="shared" si="6"/>
        <v>0</v>
      </c>
      <c r="W24" s="21"/>
      <c r="X24" s="23">
        <f t="shared" si="7"/>
        <v>0</v>
      </c>
      <c r="Y24" s="21"/>
      <c r="Z24" s="22">
        <f t="shared" si="8"/>
        <v>0</v>
      </c>
      <c r="AA24" s="21"/>
      <c r="AB24" s="22">
        <f t="shared" si="9"/>
        <v>0</v>
      </c>
      <c r="AC24" s="25">
        <f t="shared" si="10"/>
        <v>158.33333333333334</v>
      </c>
      <c r="AD24" s="21">
        <v>14</v>
      </c>
    </row>
    <row r="25" spans="1:31" x14ac:dyDescent="0.3">
      <c r="A25" s="19">
        <v>15</v>
      </c>
      <c r="B25" s="21" t="s">
        <v>784</v>
      </c>
      <c r="C25" s="21" t="s">
        <v>783</v>
      </c>
      <c r="D25" s="21" t="s">
        <v>408</v>
      </c>
      <c r="E25" s="6"/>
      <c r="F25" s="6">
        <f>IF(E25=0,,$E$9+1-E25)</f>
        <v>0</v>
      </c>
      <c r="G25" s="6"/>
      <c r="H25" s="6">
        <f>IF(G25=0,,$E$9+1-G25)</f>
        <v>0</v>
      </c>
      <c r="I25" s="6"/>
      <c r="J25" s="23">
        <f t="shared" si="0"/>
        <v>0</v>
      </c>
      <c r="K25" s="6"/>
      <c r="L25" s="7">
        <f t="shared" si="1"/>
        <v>0</v>
      </c>
      <c r="M25" s="6"/>
      <c r="N25" s="28">
        <f t="shared" si="2"/>
        <v>0</v>
      </c>
      <c r="O25" s="29"/>
      <c r="P25" s="23">
        <f t="shared" si="3"/>
        <v>0</v>
      </c>
      <c r="Q25" s="29">
        <v>9</v>
      </c>
      <c r="R25" s="23">
        <f t="shared" si="4"/>
        <v>150</v>
      </c>
      <c r="S25" s="29"/>
      <c r="T25" s="28">
        <f t="shared" si="5"/>
        <v>0</v>
      </c>
      <c r="U25" s="6"/>
      <c r="V25" s="22">
        <f t="shared" si="6"/>
        <v>0</v>
      </c>
      <c r="W25" s="21"/>
      <c r="X25" s="23">
        <f t="shared" si="7"/>
        <v>0</v>
      </c>
      <c r="Y25" s="21"/>
      <c r="Z25" s="22">
        <f t="shared" si="8"/>
        <v>0</v>
      </c>
      <c r="AA25" s="21"/>
      <c r="AB25" s="22">
        <f t="shared" si="9"/>
        <v>0</v>
      </c>
      <c r="AC25" s="25">
        <f t="shared" si="10"/>
        <v>150</v>
      </c>
      <c r="AD25" s="21">
        <v>15</v>
      </c>
    </row>
    <row r="26" spans="1:31" x14ac:dyDescent="0.3">
      <c r="A26" s="19">
        <v>16</v>
      </c>
      <c r="B26" s="13" t="s">
        <v>609</v>
      </c>
      <c r="C26" s="13" t="s">
        <v>610</v>
      </c>
      <c r="D26" s="13" t="s">
        <v>611</v>
      </c>
      <c r="E26" s="23"/>
      <c r="F26" s="23">
        <f>IF(E26=0,,($E$9-E26)*$E$7*100/$E$9)</f>
        <v>0</v>
      </c>
      <c r="G26" s="23"/>
      <c r="H26" s="23">
        <f>IF(G26=0,,($E$9-G26)*$E$7*100/$E$9)</f>
        <v>0</v>
      </c>
      <c r="I26" s="23">
        <v>10</v>
      </c>
      <c r="J26" s="23">
        <f t="shared" si="0"/>
        <v>116.66666666666667</v>
      </c>
      <c r="K26" s="23"/>
      <c r="L26" s="23">
        <f t="shared" si="1"/>
        <v>0</v>
      </c>
      <c r="M26" s="23"/>
      <c r="N26" s="23">
        <f t="shared" si="2"/>
        <v>0</v>
      </c>
      <c r="O26" s="23"/>
      <c r="P26" s="23">
        <f t="shared" si="3"/>
        <v>0</v>
      </c>
      <c r="Q26" s="23"/>
      <c r="R26" s="23">
        <f t="shared" si="4"/>
        <v>0</v>
      </c>
      <c r="S26" s="23"/>
      <c r="T26" s="23">
        <f t="shared" si="5"/>
        <v>0</v>
      </c>
      <c r="U26" s="23"/>
      <c r="V26" s="23">
        <f t="shared" si="6"/>
        <v>0</v>
      </c>
      <c r="W26" s="23"/>
      <c r="X26" s="23">
        <f t="shared" si="7"/>
        <v>0</v>
      </c>
      <c r="Y26" s="23"/>
      <c r="Z26" s="23">
        <f t="shared" si="8"/>
        <v>0</v>
      </c>
      <c r="AA26" s="23"/>
      <c r="AB26" s="23">
        <f t="shared" si="9"/>
        <v>0</v>
      </c>
      <c r="AC26" s="25">
        <f t="shared" si="10"/>
        <v>116.66666666666667</v>
      </c>
      <c r="AD26" s="6"/>
    </row>
    <row r="27" spans="1:31" x14ac:dyDescent="0.3">
      <c r="A27" s="19">
        <v>17</v>
      </c>
      <c r="B27" s="21" t="s">
        <v>616</v>
      </c>
      <c r="C27" s="21" t="s">
        <v>617</v>
      </c>
      <c r="D27" s="21" t="s">
        <v>304</v>
      </c>
      <c r="E27" s="6"/>
      <c r="F27" s="6">
        <f t="shared" ref="F27:F33" si="13">IF(E27=0,,$E$9+1-E27)</f>
        <v>0</v>
      </c>
      <c r="G27" s="6"/>
      <c r="H27" s="6">
        <f t="shared" ref="H27:H33" si="14">IF(G27=0,,$E$9+1-G27)</f>
        <v>0</v>
      </c>
      <c r="I27" s="21">
        <v>13</v>
      </c>
      <c r="J27" s="23">
        <f t="shared" si="0"/>
        <v>91.666666666666671</v>
      </c>
      <c r="K27" s="6"/>
      <c r="L27" s="7">
        <f t="shared" si="1"/>
        <v>0</v>
      </c>
      <c r="M27" s="6"/>
      <c r="N27" s="28">
        <f t="shared" si="2"/>
        <v>0</v>
      </c>
      <c r="O27" s="29"/>
      <c r="P27" s="23">
        <f t="shared" si="3"/>
        <v>0</v>
      </c>
      <c r="Q27" s="29"/>
      <c r="R27" s="23">
        <f t="shared" si="4"/>
        <v>0</v>
      </c>
      <c r="S27" s="29"/>
      <c r="T27" s="28">
        <f t="shared" si="5"/>
        <v>0</v>
      </c>
      <c r="U27" s="6"/>
      <c r="V27" s="22">
        <f t="shared" si="6"/>
        <v>0</v>
      </c>
      <c r="W27" s="21"/>
      <c r="X27" s="23">
        <f t="shared" si="7"/>
        <v>0</v>
      </c>
      <c r="Y27" s="21"/>
      <c r="Z27" s="22">
        <f t="shared" si="8"/>
        <v>0</v>
      </c>
      <c r="AA27" s="21"/>
      <c r="AB27" s="22">
        <f t="shared" si="9"/>
        <v>0</v>
      </c>
      <c r="AC27" s="25">
        <f t="shared" si="10"/>
        <v>91.666666666666671</v>
      </c>
      <c r="AD27" s="6"/>
    </row>
    <row r="28" spans="1:31" x14ac:dyDescent="0.3">
      <c r="A28" s="19">
        <v>18</v>
      </c>
      <c r="B28" s="21" t="s">
        <v>785</v>
      </c>
      <c r="C28" s="21" t="s">
        <v>786</v>
      </c>
      <c r="D28" s="21" t="s">
        <v>787</v>
      </c>
      <c r="E28" s="6"/>
      <c r="F28" s="6">
        <f t="shared" si="13"/>
        <v>0</v>
      </c>
      <c r="G28" s="6"/>
      <c r="H28" s="6">
        <f t="shared" si="14"/>
        <v>0</v>
      </c>
      <c r="I28" s="6"/>
      <c r="J28" s="23">
        <f t="shared" si="0"/>
        <v>0</v>
      </c>
      <c r="K28" s="6"/>
      <c r="L28" s="7">
        <f t="shared" si="1"/>
        <v>0</v>
      </c>
      <c r="M28" s="6"/>
      <c r="N28" s="28">
        <f t="shared" si="2"/>
        <v>0</v>
      </c>
      <c r="O28" s="29"/>
      <c r="P28" s="23">
        <f t="shared" si="3"/>
        <v>0</v>
      </c>
      <c r="Q28" s="29">
        <v>13</v>
      </c>
      <c r="R28" s="23">
        <f t="shared" si="4"/>
        <v>83.333333333333329</v>
      </c>
      <c r="S28" s="29"/>
      <c r="T28" s="28">
        <f t="shared" si="5"/>
        <v>0</v>
      </c>
      <c r="U28" s="6"/>
      <c r="V28" s="22">
        <f t="shared" si="6"/>
        <v>0</v>
      </c>
      <c r="W28" s="21"/>
      <c r="X28" s="23">
        <f t="shared" si="7"/>
        <v>0</v>
      </c>
      <c r="Y28" s="21"/>
      <c r="Z28" s="22">
        <f t="shared" si="8"/>
        <v>0</v>
      </c>
      <c r="AA28" s="21"/>
      <c r="AB28" s="22">
        <f t="shared" si="9"/>
        <v>0</v>
      </c>
      <c r="AC28" s="25">
        <f t="shared" si="10"/>
        <v>83.333333333333329</v>
      </c>
      <c r="AD28" s="6"/>
    </row>
    <row r="29" spans="1:31" x14ac:dyDescent="0.3">
      <c r="A29" s="19">
        <v>19</v>
      </c>
      <c r="B29" s="21" t="s">
        <v>788</v>
      </c>
      <c r="C29" s="21" t="s">
        <v>789</v>
      </c>
      <c r="D29" s="21" t="s">
        <v>790</v>
      </c>
      <c r="E29" s="6"/>
      <c r="F29" s="6">
        <f t="shared" si="13"/>
        <v>0</v>
      </c>
      <c r="G29" s="6"/>
      <c r="H29" s="6">
        <f t="shared" si="14"/>
        <v>0</v>
      </c>
      <c r="I29" s="6"/>
      <c r="J29" s="23">
        <f t="shared" si="0"/>
        <v>0</v>
      </c>
      <c r="K29" s="6"/>
      <c r="L29" s="7">
        <f t="shared" si="1"/>
        <v>0</v>
      </c>
      <c r="M29" s="6"/>
      <c r="N29" s="7">
        <f t="shared" si="2"/>
        <v>0</v>
      </c>
      <c r="O29" s="6"/>
      <c r="P29" s="7">
        <f>IF(O29=0,,($M$9-O29)*$M$7*100/$M$9)</f>
        <v>0</v>
      </c>
      <c r="Q29" s="6">
        <v>14</v>
      </c>
      <c r="R29" s="23">
        <f t="shared" si="4"/>
        <v>66.666666666666671</v>
      </c>
      <c r="S29" s="6"/>
      <c r="T29" s="7">
        <f t="shared" si="5"/>
        <v>0</v>
      </c>
      <c r="U29" s="6"/>
      <c r="V29" s="22">
        <f t="shared" si="6"/>
        <v>0</v>
      </c>
      <c r="W29" s="21"/>
      <c r="X29" s="23">
        <f t="shared" si="7"/>
        <v>0</v>
      </c>
      <c r="Y29" s="21"/>
      <c r="Z29" s="22">
        <f t="shared" si="8"/>
        <v>0</v>
      </c>
      <c r="AA29" s="21"/>
      <c r="AB29" s="22">
        <f t="shared" si="9"/>
        <v>0</v>
      </c>
      <c r="AC29" s="25">
        <f t="shared" si="10"/>
        <v>66.666666666666671</v>
      </c>
      <c r="AD29" s="6"/>
    </row>
    <row r="30" spans="1:31" x14ac:dyDescent="0.3">
      <c r="A30" s="20">
        <v>20</v>
      </c>
      <c r="B30" s="21" t="s">
        <v>791</v>
      </c>
      <c r="C30" s="21" t="s">
        <v>792</v>
      </c>
      <c r="D30" s="21" t="s">
        <v>446</v>
      </c>
      <c r="E30" s="6"/>
      <c r="F30" s="6">
        <f t="shared" si="13"/>
        <v>0</v>
      </c>
      <c r="G30" s="6"/>
      <c r="H30" s="6">
        <f t="shared" si="14"/>
        <v>0</v>
      </c>
      <c r="I30" s="6"/>
      <c r="J30" s="23">
        <f t="shared" si="0"/>
        <v>0</v>
      </c>
      <c r="K30" s="6"/>
      <c r="L30" s="7">
        <f t="shared" si="1"/>
        <v>0</v>
      </c>
      <c r="M30" s="6"/>
      <c r="N30" s="7">
        <f t="shared" si="2"/>
        <v>0</v>
      </c>
      <c r="O30" s="6"/>
      <c r="P30" s="7">
        <f>IF(O30=0,,($M$9-O30)*$M$7*100/$M$9)</f>
        <v>0</v>
      </c>
      <c r="Q30" s="6">
        <v>15</v>
      </c>
      <c r="R30" s="23">
        <f t="shared" si="4"/>
        <v>50</v>
      </c>
      <c r="S30" s="6"/>
      <c r="T30" s="7">
        <f t="shared" si="5"/>
        <v>0</v>
      </c>
      <c r="U30" s="6"/>
      <c r="V30" s="22">
        <f t="shared" si="6"/>
        <v>0</v>
      </c>
      <c r="W30" s="21"/>
      <c r="X30" s="23">
        <f t="shared" si="7"/>
        <v>0</v>
      </c>
      <c r="Y30" s="21"/>
      <c r="Z30" s="22">
        <f t="shared" si="8"/>
        <v>0</v>
      </c>
      <c r="AA30" s="21"/>
      <c r="AB30" s="22">
        <f t="shared" si="9"/>
        <v>0</v>
      </c>
      <c r="AC30" s="25">
        <f t="shared" si="10"/>
        <v>50</v>
      </c>
      <c r="AD30" s="6"/>
    </row>
    <row r="31" spans="1:31" x14ac:dyDescent="0.3">
      <c r="A31" s="20">
        <v>22</v>
      </c>
      <c r="B31" s="21" t="s">
        <v>622</v>
      </c>
      <c r="C31" s="21" t="s">
        <v>335</v>
      </c>
      <c r="D31" s="21" t="s">
        <v>131</v>
      </c>
      <c r="E31" s="6"/>
      <c r="F31" s="6">
        <f t="shared" si="13"/>
        <v>0</v>
      </c>
      <c r="G31" s="6"/>
      <c r="H31" s="6">
        <f t="shared" si="14"/>
        <v>0</v>
      </c>
      <c r="I31" s="21">
        <v>20</v>
      </c>
      <c r="J31" s="23">
        <f t="shared" si="0"/>
        <v>33.333333333333336</v>
      </c>
      <c r="K31" s="6"/>
      <c r="L31" s="7">
        <f t="shared" si="1"/>
        <v>0</v>
      </c>
      <c r="M31" s="6"/>
      <c r="N31" s="28">
        <f t="shared" si="2"/>
        <v>0</v>
      </c>
      <c r="O31" s="29"/>
      <c r="P31" s="23">
        <f>IF(O31=0,,($O$9-O31)*$O$7*100/$O$9)</f>
        <v>0</v>
      </c>
      <c r="Q31" s="29"/>
      <c r="R31" s="23">
        <f t="shared" si="4"/>
        <v>0</v>
      </c>
      <c r="S31" s="29"/>
      <c r="T31" s="28">
        <f t="shared" si="5"/>
        <v>0</v>
      </c>
      <c r="U31" s="6"/>
      <c r="V31" s="22">
        <f t="shared" si="6"/>
        <v>0</v>
      </c>
      <c r="W31" s="21"/>
      <c r="X31" s="23">
        <f t="shared" si="7"/>
        <v>0</v>
      </c>
      <c r="Y31" s="21"/>
      <c r="Z31" s="22">
        <f t="shared" si="8"/>
        <v>0</v>
      </c>
      <c r="AA31" s="21"/>
      <c r="AB31" s="22">
        <f t="shared" si="9"/>
        <v>0</v>
      </c>
      <c r="AC31" s="25">
        <f t="shared" si="10"/>
        <v>33.333333333333336</v>
      </c>
      <c r="AD31" s="6"/>
    </row>
    <row r="32" spans="1:31" x14ac:dyDescent="0.3">
      <c r="A32" s="20">
        <v>23</v>
      </c>
      <c r="B32" s="21" t="s">
        <v>324</v>
      </c>
      <c r="C32" s="21" t="s">
        <v>625</v>
      </c>
      <c r="D32" s="21" t="s">
        <v>408</v>
      </c>
      <c r="E32" s="6"/>
      <c r="F32" s="6">
        <f t="shared" si="13"/>
        <v>0</v>
      </c>
      <c r="G32" s="6"/>
      <c r="H32" s="6">
        <f t="shared" si="14"/>
        <v>0</v>
      </c>
      <c r="I32" s="21">
        <v>24</v>
      </c>
      <c r="J32" s="23">
        <f t="shared" si="0"/>
        <v>0</v>
      </c>
      <c r="K32" s="6"/>
      <c r="L32" s="7">
        <f t="shared" si="1"/>
        <v>0</v>
      </c>
      <c r="M32" s="6"/>
      <c r="N32" s="28">
        <f t="shared" si="2"/>
        <v>0</v>
      </c>
      <c r="O32" s="29"/>
      <c r="P32" s="23">
        <f>IF(O32=0,,($O$9-O32)*$O$7*100/$O$9)</f>
        <v>0</v>
      </c>
      <c r="Q32" s="29">
        <v>16</v>
      </c>
      <c r="R32" s="23">
        <f t="shared" si="4"/>
        <v>33.333333333333336</v>
      </c>
      <c r="S32" s="29"/>
      <c r="T32" s="28">
        <f t="shared" si="5"/>
        <v>0</v>
      </c>
      <c r="U32" s="6"/>
      <c r="V32" s="22">
        <f t="shared" si="6"/>
        <v>0</v>
      </c>
      <c r="W32" s="21"/>
      <c r="X32" s="23">
        <f t="shared" si="7"/>
        <v>0</v>
      </c>
      <c r="Y32" s="21"/>
      <c r="Z32" s="22">
        <f t="shared" si="8"/>
        <v>0</v>
      </c>
      <c r="AA32" s="21"/>
      <c r="AB32" s="22">
        <f t="shared" si="9"/>
        <v>0</v>
      </c>
      <c r="AC32" s="25">
        <f t="shared" si="10"/>
        <v>33.333333333333336</v>
      </c>
      <c r="AD32" s="6"/>
    </row>
    <row r="33" spans="1:30" x14ac:dyDescent="0.3">
      <c r="A33" s="20">
        <v>24</v>
      </c>
      <c r="B33" s="21" t="s">
        <v>256</v>
      </c>
      <c r="C33" s="21" t="s">
        <v>793</v>
      </c>
      <c r="D33" s="21" t="s">
        <v>246</v>
      </c>
      <c r="E33" s="6"/>
      <c r="F33" s="6">
        <f t="shared" si="13"/>
        <v>0</v>
      </c>
      <c r="G33" s="6"/>
      <c r="H33" s="6">
        <f t="shared" si="14"/>
        <v>0</v>
      </c>
      <c r="I33" s="6"/>
      <c r="J33" s="23">
        <f t="shared" si="0"/>
        <v>0</v>
      </c>
      <c r="K33" s="6"/>
      <c r="L33" s="7">
        <f t="shared" si="1"/>
        <v>0</v>
      </c>
      <c r="M33" s="6"/>
      <c r="N33" s="7">
        <f t="shared" si="2"/>
        <v>0</v>
      </c>
      <c r="O33" s="6"/>
      <c r="P33" s="7">
        <f>IF(O33=0,,($M$9-O33)*$M$7*100/$M$9)</f>
        <v>0</v>
      </c>
      <c r="Q33" s="6">
        <v>17</v>
      </c>
      <c r="R33" s="23">
        <f t="shared" si="4"/>
        <v>16.666666666666668</v>
      </c>
      <c r="S33" s="6"/>
      <c r="T33" s="7">
        <f t="shared" si="5"/>
        <v>0</v>
      </c>
      <c r="U33" s="6"/>
      <c r="V33" s="22">
        <f t="shared" si="6"/>
        <v>0</v>
      </c>
      <c r="W33" s="21"/>
      <c r="X33" s="23">
        <f t="shared" si="7"/>
        <v>0</v>
      </c>
      <c r="Y33" s="21"/>
      <c r="Z33" s="22">
        <f t="shared" si="8"/>
        <v>0</v>
      </c>
      <c r="AA33" s="21"/>
      <c r="AB33" s="22">
        <f t="shared" si="9"/>
        <v>0</v>
      </c>
      <c r="AC33" s="25">
        <f t="shared" si="10"/>
        <v>16.666666666666668</v>
      </c>
      <c r="AD33" s="6"/>
    </row>
    <row r="34" spans="1:30" x14ac:dyDescent="0.3">
      <c r="A34" s="20">
        <v>25</v>
      </c>
      <c r="B34" s="21" t="s">
        <v>794</v>
      </c>
      <c r="C34" s="21" t="s">
        <v>255</v>
      </c>
      <c r="D34" s="21" t="s">
        <v>795</v>
      </c>
      <c r="E34" s="6"/>
      <c r="F34" s="6"/>
      <c r="G34" s="6"/>
      <c r="H34" s="6"/>
      <c r="I34" s="6"/>
      <c r="J34" s="23"/>
      <c r="K34" s="6"/>
      <c r="L34" s="7"/>
      <c r="M34" s="6"/>
      <c r="N34" s="7"/>
      <c r="O34" s="6"/>
      <c r="P34" s="7"/>
      <c r="Q34" s="6">
        <v>18</v>
      </c>
      <c r="R34" s="23">
        <f>17/2</f>
        <v>8.5</v>
      </c>
      <c r="S34" s="6"/>
      <c r="T34" s="7"/>
      <c r="U34" s="6"/>
      <c r="V34" s="22"/>
      <c r="W34" s="21"/>
      <c r="X34" s="23">
        <f t="shared" si="7"/>
        <v>0</v>
      </c>
      <c r="Y34" s="21"/>
      <c r="Z34" s="22"/>
      <c r="AA34" s="21"/>
      <c r="AB34" s="22"/>
      <c r="AC34" s="25">
        <f t="shared" si="10"/>
        <v>8.5</v>
      </c>
      <c r="AD34" s="6"/>
    </row>
    <row r="35" spans="1:30" x14ac:dyDescent="0.3">
      <c r="A35" s="45" t="s">
        <v>11</v>
      </c>
      <c r="B35" s="45"/>
      <c r="C35" s="46"/>
      <c r="E35">
        <f>COUNTA(E11:E34)</f>
        <v>0</v>
      </c>
      <c r="G35">
        <f>COUNTA(G11:G34)</f>
        <v>1</v>
      </c>
      <c r="I35">
        <f>COUNTA(I11:I34)</f>
        <v>14</v>
      </c>
      <c r="K35">
        <f>COUNTA(K11:K34)</f>
        <v>1</v>
      </c>
      <c r="M35">
        <f>COUNTA(M11:M34)</f>
        <v>0</v>
      </c>
    </row>
  </sheetData>
  <sortState xmlns:xlrd2="http://schemas.microsoft.com/office/spreadsheetml/2017/richdata2" ref="B11:AC34">
    <sortCondition descending="1" ref="AC11:AC34"/>
  </sortState>
  <mergeCells count="50">
    <mergeCell ref="AA6:AB6"/>
    <mergeCell ref="AA7:AB7"/>
    <mergeCell ref="AA8:AB8"/>
    <mergeCell ref="AA9:AB9"/>
    <mergeCell ref="W6:X6"/>
    <mergeCell ref="W7:X7"/>
    <mergeCell ref="W8:X8"/>
    <mergeCell ref="W9:X9"/>
    <mergeCell ref="Y6:Z6"/>
    <mergeCell ref="Y7:Z7"/>
    <mergeCell ref="Y8:Z8"/>
    <mergeCell ref="Y9:Z9"/>
    <mergeCell ref="A1:M1"/>
    <mergeCell ref="E6:F6"/>
    <mergeCell ref="G6:H6"/>
    <mergeCell ref="I6:J6"/>
    <mergeCell ref="K6:L6"/>
    <mergeCell ref="M6:N6"/>
    <mergeCell ref="A35:C35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9:N9"/>
    <mergeCell ref="O6:P6"/>
    <mergeCell ref="O7:P7"/>
    <mergeCell ref="O8:P8"/>
    <mergeCell ref="O9:P9"/>
    <mergeCell ref="M7:N7"/>
    <mergeCell ref="M8:N8"/>
    <mergeCell ref="U6:V6"/>
    <mergeCell ref="U7:V7"/>
    <mergeCell ref="U8:V8"/>
    <mergeCell ref="U9:V9"/>
    <mergeCell ref="Q6:R6"/>
    <mergeCell ref="Q7:R7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40"/>
  <sheetViews>
    <sheetView zoomScale="94" zoomScaleNormal="94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W5" sqref="W5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7.33203125" customWidth="1"/>
    <col min="5" max="5" width="11.44140625" customWidth="1"/>
    <col min="6" max="6" width="23" customWidth="1"/>
    <col min="7" max="7" width="11.44140625" customWidth="1"/>
    <col min="8" max="8" width="23" customWidth="1"/>
    <col min="9" max="9" width="11.44140625" customWidth="1"/>
    <col min="10" max="10" width="23" customWidth="1"/>
    <col min="11" max="11" width="11.44140625" customWidth="1"/>
    <col min="12" max="12" width="23" customWidth="1"/>
    <col min="13" max="13" width="11.44140625" customWidth="1"/>
    <col min="14" max="14" width="23" customWidth="1"/>
    <col min="15" max="15" width="11.44140625" customWidth="1"/>
    <col min="16" max="16" width="23" customWidth="1"/>
    <col min="18" max="18" width="18.33203125" bestFit="1" customWidth="1"/>
    <col min="19" max="19" width="15.44140625" bestFit="1" customWidth="1"/>
    <col min="20" max="20" width="19.6640625" bestFit="1" customWidth="1"/>
  </cols>
  <sheetData>
    <row r="1" spans="1:26" ht="31.2" x14ac:dyDescent="0.6">
      <c r="A1" s="47" t="s">
        <v>83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26" x14ac:dyDescent="0.3">
      <c r="E2" s="54" t="s">
        <v>17</v>
      </c>
      <c r="F2" s="54"/>
      <c r="G2" s="14">
        <f>COUNTA(B11:B39)</f>
        <v>23</v>
      </c>
    </row>
    <row r="3" spans="1:26" x14ac:dyDescent="0.3">
      <c r="B3" s="2"/>
      <c r="E3" s="54" t="s">
        <v>19</v>
      </c>
      <c r="F3" s="54"/>
      <c r="G3" s="14">
        <v>8</v>
      </c>
    </row>
    <row r="4" spans="1:26" x14ac:dyDescent="0.3">
      <c r="B4" s="2"/>
      <c r="C4" s="3"/>
    </row>
    <row r="6" spans="1:26" x14ac:dyDescent="0.3">
      <c r="D6" s="1" t="s">
        <v>0</v>
      </c>
      <c r="E6" s="41" t="s">
        <v>85</v>
      </c>
      <c r="F6" s="41"/>
      <c r="G6" s="41" t="s">
        <v>274</v>
      </c>
      <c r="H6" s="41"/>
      <c r="I6" s="41" t="s">
        <v>363</v>
      </c>
      <c r="J6" s="41"/>
      <c r="K6" s="41" t="s">
        <v>86</v>
      </c>
      <c r="L6" s="41"/>
      <c r="M6" s="41" t="s">
        <v>87</v>
      </c>
      <c r="N6" s="41"/>
      <c r="O6" s="41" t="s">
        <v>69</v>
      </c>
      <c r="P6" s="41"/>
      <c r="Q6" s="41" t="s">
        <v>88</v>
      </c>
      <c r="R6" s="41"/>
      <c r="S6" s="41" t="s">
        <v>90</v>
      </c>
      <c r="T6" s="41"/>
      <c r="U6" s="41" t="s">
        <v>91</v>
      </c>
      <c r="V6" s="41"/>
    </row>
    <row r="7" spans="1:26" x14ac:dyDescent="0.3">
      <c r="D7" s="1" t="s">
        <v>10</v>
      </c>
      <c r="E7" s="42">
        <v>5</v>
      </c>
      <c r="F7" s="43"/>
      <c r="G7" s="42">
        <v>2</v>
      </c>
      <c r="H7" s="43"/>
      <c r="I7" s="42">
        <v>2</v>
      </c>
      <c r="J7" s="43"/>
      <c r="K7" s="42">
        <v>5</v>
      </c>
      <c r="L7" s="43"/>
      <c r="M7" s="42">
        <v>3</v>
      </c>
      <c r="N7" s="43"/>
      <c r="O7" s="42">
        <v>2</v>
      </c>
      <c r="P7" s="43"/>
      <c r="Q7" s="42">
        <v>4</v>
      </c>
      <c r="R7" s="43"/>
      <c r="S7" s="42">
        <v>5</v>
      </c>
      <c r="T7" s="43"/>
      <c r="U7" s="42">
        <v>6</v>
      </c>
      <c r="V7" s="43"/>
    </row>
    <row r="8" spans="1:26" x14ac:dyDescent="0.3">
      <c r="D8" s="1" t="s">
        <v>1</v>
      </c>
      <c r="E8" s="44" t="s">
        <v>84</v>
      </c>
      <c r="F8" s="44"/>
      <c r="G8" s="44">
        <v>45213</v>
      </c>
      <c r="H8" s="44"/>
      <c r="I8" s="44">
        <v>45226</v>
      </c>
      <c r="J8" s="44"/>
      <c r="K8" s="44" t="s">
        <v>43</v>
      </c>
      <c r="L8" s="44"/>
      <c r="M8" s="44" t="s">
        <v>35</v>
      </c>
      <c r="N8" s="44"/>
      <c r="O8" s="44" t="s">
        <v>52</v>
      </c>
      <c r="P8" s="44"/>
      <c r="Q8" s="44" t="s">
        <v>46</v>
      </c>
      <c r="R8" s="44"/>
      <c r="S8" s="44" t="s">
        <v>37</v>
      </c>
      <c r="T8" s="44"/>
      <c r="U8" s="44" t="s">
        <v>92</v>
      </c>
      <c r="V8" s="44"/>
      <c r="Y8" s="14"/>
    </row>
    <row r="9" spans="1:26" x14ac:dyDescent="0.3">
      <c r="D9" s="1" t="s">
        <v>2</v>
      </c>
      <c r="E9" s="41">
        <v>214</v>
      </c>
      <c r="F9" s="41"/>
      <c r="G9" s="41">
        <v>15</v>
      </c>
      <c r="H9" s="41"/>
      <c r="I9" s="41">
        <v>24</v>
      </c>
      <c r="J9" s="41"/>
      <c r="K9" s="41">
        <v>197</v>
      </c>
      <c r="L9" s="41"/>
      <c r="M9" s="41">
        <v>0</v>
      </c>
      <c r="N9" s="41"/>
      <c r="O9" s="41">
        <v>0</v>
      </c>
      <c r="P9" s="41"/>
      <c r="Q9" s="41">
        <v>20</v>
      </c>
      <c r="R9" s="41"/>
      <c r="S9" s="41">
        <v>186</v>
      </c>
      <c r="T9" s="41"/>
      <c r="U9" s="41">
        <v>149</v>
      </c>
      <c r="V9" s="41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20</v>
      </c>
      <c r="Z10" s="1" t="s">
        <v>22</v>
      </c>
    </row>
    <row r="11" spans="1:26" x14ac:dyDescent="0.3">
      <c r="A11" s="20">
        <f t="shared" ref="A11:A19" si="0">X11</f>
        <v>1</v>
      </c>
      <c r="B11" s="6" t="s">
        <v>138</v>
      </c>
      <c r="C11" s="6" t="s">
        <v>139</v>
      </c>
      <c r="D11" s="6" t="s">
        <v>140</v>
      </c>
      <c r="E11" s="13">
        <v>46</v>
      </c>
      <c r="F11" s="23">
        <f t="shared" ref="F11:F20" si="1">IF(E11=0,,($E$9-E11)*$E$7*100/$E$9)</f>
        <v>392.52336448598129</v>
      </c>
      <c r="G11" s="13"/>
      <c r="H11" s="23">
        <f t="shared" ref="H11:H17" si="2">IF(G11=0,,($G$9-G11)*$G$7*100/$G$9)</f>
        <v>0</v>
      </c>
      <c r="I11" s="13">
        <v>3</v>
      </c>
      <c r="J11" s="23">
        <f t="shared" ref="J11:J20" si="3">IF(I11=0,,($I$9-I11)*$I$7*100/$I$9)</f>
        <v>175</v>
      </c>
      <c r="K11" s="13">
        <v>35</v>
      </c>
      <c r="L11" s="23">
        <f t="shared" ref="L11:L20" si="4">IF(K11=0,,($K$9-K11)*$K$7*100/$K$9)</f>
        <v>411.16751269035535</v>
      </c>
      <c r="M11" s="13"/>
      <c r="N11" s="23">
        <f t="shared" ref="N11:N16" si="5">IF(M11=0,,($M$9-M11)*$M$7*100/$M$9)</f>
        <v>0</v>
      </c>
      <c r="O11" s="6"/>
      <c r="P11" s="7">
        <f t="shared" ref="P11:P17" si="6">IF(O11=0,,($O$9-O11)*$O$7*100/$O$9)</f>
        <v>0</v>
      </c>
      <c r="Q11" s="6">
        <v>1</v>
      </c>
      <c r="R11" s="7">
        <f t="shared" ref="R11:R32" si="7">IF(Q11=0,,($Q$9-Q11)*$Q$7*100/$Q$9)</f>
        <v>380</v>
      </c>
      <c r="S11" s="6">
        <v>18</v>
      </c>
      <c r="T11" s="7">
        <f t="shared" ref="T11:T20" si="8">IF(S11=0,,($S$9-S11)*$S$7*100/$S$9)</f>
        <v>451.61290322580646</v>
      </c>
      <c r="U11" s="6">
        <v>32</v>
      </c>
      <c r="V11" s="7">
        <f t="shared" ref="V11:V33" si="9">IF(U11=0,,($U$9-U11)*$U$7*100/$U$9)</f>
        <v>471.14093959731542</v>
      </c>
      <c r="W11" s="8">
        <f t="shared" ref="W11:W33" si="10">SUM(F11,H11,J11,N11,P11,R11,T11,V11)</f>
        <v>1870.2772073091032</v>
      </c>
      <c r="X11" s="6">
        <f t="shared" ref="X11:X33" si="11">ROW(B11)-10</f>
        <v>1</v>
      </c>
      <c r="Y11" s="6">
        <f>COUNTA(E11,O11,G11,I11,M11,#REF!)</f>
        <v>3</v>
      </c>
      <c r="Z11" s="16">
        <f t="shared" ref="Z11:Z19" si="12">Y11/$G$3</f>
        <v>0.375</v>
      </c>
    </row>
    <row r="12" spans="1:26" x14ac:dyDescent="0.3">
      <c r="A12" s="20">
        <f t="shared" si="0"/>
        <v>2</v>
      </c>
      <c r="B12" s="6" t="s">
        <v>136</v>
      </c>
      <c r="C12" s="6" t="s">
        <v>137</v>
      </c>
      <c r="D12" s="6" t="s">
        <v>126</v>
      </c>
      <c r="E12" s="13">
        <v>45</v>
      </c>
      <c r="F12" s="23">
        <f t="shared" si="1"/>
        <v>394.85981308411215</v>
      </c>
      <c r="G12" s="13"/>
      <c r="H12" s="23">
        <f t="shared" si="2"/>
        <v>0</v>
      </c>
      <c r="I12" s="13">
        <v>6</v>
      </c>
      <c r="J12" s="23">
        <f t="shared" si="3"/>
        <v>150</v>
      </c>
      <c r="K12" s="13">
        <v>70</v>
      </c>
      <c r="L12" s="23">
        <f t="shared" si="4"/>
        <v>322.33502538071065</v>
      </c>
      <c r="M12" s="13"/>
      <c r="N12" s="23">
        <f t="shared" si="5"/>
        <v>0</v>
      </c>
      <c r="O12" s="6"/>
      <c r="P12" s="7">
        <f t="shared" si="6"/>
        <v>0</v>
      </c>
      <c r="Q12" s="6">
        <v>2</v>
      </c>
      <c r="R12" s="7">
        <f t="shared" si="7"/>
        <v>360</v>
      </c>
      <c r="S12" s="6">
        <v>108</v>
      </c>
      <c r="T12" s="7">
        <f t="shared" si="8"/>
        <v>209.67741935483872</v>
      </c>
      <c r="U12" s="6">
        <v>111</v>
      </c>
      <c r="V12" s="7">
        <f t="shared" si="9"/>
        <v>153.02013422818791</v>
      </c>
      <c r="W12" s="8">
        <f t="shared" si="10"/>
        <v>1267.5573666671389</v>
      </c>
      <c r="X12" s="6">
        <f t="shared" si="11"/>
        <v>2</v>
      </c>
      <c r="Y12" s="6">
        <f>COUNTA(E12,O12,G12,I12,M12,#REF!)</f>
        <v>3</v>
      </c>
      <c r="Z12" s="16">
        <f t="shared" si="12"/>
        <v>0.375</v>
      </c>
    </row>
    <row r="13" spans="1:26" x14ac:dyDescent="0.3">
      <c r="A13" s="20">
        <f t="shared" si="0"/>
        <v>3</v>
      </c>
      <c r="B13" s="6" t="s">
        <v>143</v>
      </c>
      <c r="C13" s="6" t="s">
        <v>144</v>
      </c>
      <c r="D13" s="6" t="s">
        <v>140</v>
      </c>
      <c r="E13" s="13">
        <v>128</v>
      </c>
      <c r="F13" s="23">
        <f t="shared" si="1"/>
        <v>200.93457943925233</v>
      </c>
      <c r="G13" s="13">
        <v>3</v>
      </c>
      <c r="H13" s="23">
        <f t="shared" si="2"/>
        <v>160</v>
      </c>
      <c r="I13" s="13">
        <v>17</v>
      </c>
      <c r="J13" s="23">
        <f t="shared" si="3"/>
        <v>58.333333333333336</v>
      </c>
      <c r="K13" s="13">
        <v>104</v>
      </c>
      <c r="L13" s="23">
        <f t="shared" si="4"/>
        <v>236.04060913705584</v>
      </c>
      <c r="M13" s="13"/>
      <c r="N13" s="23">
        <f t="shared" si="5"/>
        <v>0</v>
      </c>
      <c r="O13" s="6"/>
      <c r="P13" s="7">
        <f t="shared" si="6"/>
        <v>0</v>
      </c>
      <c r="Q13" s="6">
        <v>10</v>
      </c>
      <c r="R13" s="7">
        <f t="shared" si="7"/>
        <v>200</v>
      </c>
      <c r="S13" s="6">
        <v>164</v>
      </c>
      <c r="T13" s="7">
        <f t="shared" si="8"/>
        <v>59.13978494623656</v>
      </c>
      <c r="U13" s="6">
        <v>86</v>
      </c>
      <c r="V13" s="7">
        <f t="shared" si="9"/>
        <v>253.69127516778522</v>
      </c>
      <c r="W13" s="8">
        <f t="shared" si="10"/>
        <v>932.09897288660738</v>
      </c>
      <c r="X13" s="6">
        <f t="shared" si="11"/>
        <v>3</v>
      </c>
      <c r="Y13" s="6">
        <f>COUNTA(E13,O13,G13,I13,M13,#REF!)</f>
        <v>4</v>
      </c>
      <c r="Z13" s="16">
        <f t="shared" si="12"/>
        <v>0.5</v>
      </c>
    </row>
    <row r="14" spans="1:26" x14ac:dyDescent="0.3">
      <c r="A14" s="20">
        <f t="shared" si="0"/>
        <v>4</v>
      </c>
      <c r="B14" s="6" t="s">
        <v>151</v>
      </c>
      <c r="C14" s="6" t="s">
        <v>152</v>
      </c>
      <c r="D14" s="6" t="s">
        <v>126</v>
      </c>
      <c r="E14" s="13">
        <v>162</v>
      </c>
      <c r="F14" s="23">
        <f t="shared" si="1"/>
        <v>121.49532710280374</v>
      </c>
      <c r="G14" s="13"/>
      <c r="H14" s="23">
        <f t="shared" si="2"/>
        <v>0</v>
      </c>
      <c r="I14" s="13">
        <v>7</v>
      </c>
      <c r="J14" s="23">
        <f t="shared" si="3"/>
        <v>141.66666666666666</v>
      </c>
      <c r="K14" s="13">
        <v>137</v>
      </c>
      <c r="L14" s="23">
        <f t="shared" si="4"/>
        <v>152.28426395939087</v>
      </c>
      <c r="M14" s="13"/>
      <c r="N14" s="23">
        <f t="shared" si="5"/>
        <v>0</v>
      </c>
      <c r="O14" s="6"/>
      <c r="P14" s="7">
        <f t="shared" si="6"/>
        <v>0</v>
      </c>
      <c r="Q14" s="6">
        <v>3</v>
      </c>
      <c r="R14" s="7">
        <f t="shared" si="7"/>
        <v>340</v>
      </c>
      <c r="S14" s="6">
        <v>87</v>
      </c>
      <c r="T14" s="7">
        <f t="shared" si="8"/>
        <v>266.12903225806451</v>
      </c>
      <c r="U14" s="6">
        <v>143</v>
      </c>
      <c r="V14" s="7">
        <f t="shared" si="9"/>
        <v>24.161073825503355</v>
      </c>
      <c r="W14" s="8">
        <f t="shared" si="10"/>
        <v>893.45209985303825</v>
      </c>
      <c r="X14" s="6">
        <f t="shared" si="11"/>
        <v>4</v>
      </c>
      <c r="Y14" s="6">
        <f>COUNTA(E14,O14,G14,I14,M14,#REF!)</f>
        <v>3</v>
      </c>
      <c r="Z14" s="16">
        <f t="shared" si="12"/>
        <v>0.375</v>
      </c>
    </row>
    <row r="15" spans="1:26" x14ac:dyDescent="0.3">
      <c r="A15" s="20">
        <f t="shared" si="0"/>
        <v>5</v>
      </c>
      <c r="B15" s="6" t="s">
        <v>149</v>
      </c>
      <c r="C15" s="6" t="s">
        <v>150</v>
      </c>
      <c r="D15" s="6" t="s">
        <v>140</v>
      </c>
      <c r="E15" s="13">
        <v>159</v>
      </c>
      <c r="F15" s="23">
        <f t="shared" si="1"/>
        <v>128.50467289719626</v>
      </c>
      <c r="G15" s="13"/>
      <c r="H15" s="23">
        <f t="shared" si="2"/>
        <v>0</v>
      </c>
      <c r="I15" s="13">
        <v>11</v>
      </c>
      <c r="J15" s="23">
        <f t="shared" si="3"/>
        <v>108.33333333333333</v>
      </c>
      <c r="K15" s="13">
        <v>160</v>
      </c>
      <c r="L15" s="23">
        <f t="shared" si="4"/>
        <v>93.90862944162437</v>
      </c>
      <c r="M15" s="13"/>
      <c r="N15" s="23">
        <f t="shared" si="5"/>
        <v>0</v>
      </c>
      <c r="O15" s="6"/>
      <c r="P15" s="7">
        <f t="shared" si="6"/>
        <v>0</v>
      </c>
      <c r="Q15" s="6">
        <v>3</v>
      </c>
      <c r="R15" s="7">
        <f t="shared" si="7"/>
        <v>340</v>
      </c>
      <c r="S15" s="6">
        <v>125</v>
      </c>
      <c r="T15" s="7">
        <f t="shared" si="8"/>
        <v>163.97849462365591</v>
      </c>
      <c r="U15" s="6">
        <v>116</v>
      </c>
      <c r="V15" s="7">
        <f t="shared" si="9"/>
        <v>132.88590604026845</v>
      </c>
      <c r="W15" s="8">
        <f t="shared" si="10"/>
        <v>873.70240689445393</v>
      </c>
      <c r="X15" s="6">
        <f t="shared" si="11"/>
        <v>5</v>
      </c>
      <c r="Y15" s="6">
        <f>COUNTA(E15,O15,G15,I15,M15,#REF!)</f>
        <v>3</v>
      </c>
      <c r="Z15" s="16">
        <f t="shared" si="12"/>
        <v>0.375</v>
      </c>
    </row>
    <row r="16" spans="1:26" x14ac:dyDescent="0.3">
      <c r="A16" s="20">
        <f t="shared" si="0"/>
        <v>6</v>
      </c>
      <c r="B16" s="6" t="s">
        <v>145</v>
      </c>
      <c r="C16" s="6" t="s">
        <v>146</v>
      </c>
      <c r="D16" s="6" t="s">
        <v>126</v>
      </c>
      <c r="E16" s="13">
        <v>141</v>
      </c>
      <c r="F16" s="23">
        <f t="shared" si="1"/>
        <v>170.56074766355141</v>
      </c>
      <c r="G16" s="13"/>
      <c r="H16" s="23">
        <f t="shared" si="2"/>
        <v>0</v>
      </c>
      <c r="I16" s="13"/>
      <c r="J16" s="23">
        <f t="shared" si="3"/>
        <v>0</v>
      </c>
      <c r="K16" s="13"/>
      <c r="L16" s="23">
        <f t="shared" si="4"/>
        <v>0</v>
      </c>
      <c r="M16" s="13"/>
      <c r="N16" s="23">
        <f t="shared" si="5"/>
        <v>0</v>
      </c>
      <c r="O16" s="6"/>
      <c r="P16" s="7">
        <f t="shared" si="6"/>
        <v>0</v>
      </c>
      <c r="Q16" s="6">
        <v>6</v>
      </c>
      <c r="R16" s="7">
        <f t="shared" si="7"/>
        <v>280</v>
      </c>
      <c r="S16" s="6">
        <v>183</v>
      </c>
      <c r="T16" s="7">
        <f t="shared" si="8"/>
        <v>8.064516129032258</v>
      </c>
      <c r="U16" s="6"/>
      <c r="V16" s="7">
        <f t="shared" si="9"/>
        <v>0</v>
      </c>
      <c r="W16" s="8">
        <f t="shared" si="10"/>
        <v>458.62526379258367</v>
      </c>
      <c r="X16" s="6">
        <f t="shared" si="11"/>
        <v>6</v>
      </c>
      <c r="Y16" s="6">
        <f>COUNTA(E16,O16,G16,I16,M16,#REF!)</f>
        <v>2</v>
      </c>
      <c r="Z16" s="16">
        <f t="shared" si="12"/>
        <v>0.25</v>
      </c>
    </row>
    <row r="17" spans="1:26" x14ac:dyDescent="0.3">
      <c r="A17" s="20">
        <f t="shared" si="0"/>
        <v>7</v>
      </c>
      <c r="B17" s="6" t="s">
        <v>750</v>
      </c>
      <c r="C17" s="6" t="s">
        <v>146</v>
      </c>
      <c r="D17" s="6" t="s">
        <v>729</v>
      </c>
      <c r="E17" s="13">
        <v>135</v>
      </c>
      <c r="F17" s="23">
        <f t="shared" si="1"/>
        <v>184.57943925233644</v>
      </c>
      <c r="G17" s="13"/>
      <c r="H17" s="23">
        <f t="shared" si="2"/>
        <v>0</v>
      </c>
      <c r="I17" s="13"/>
      <c r="J17" s="23">
        <f t="shared" si="3"/>
        <v>0</v>
      </c>
      <c r="K17" s="13"/>
      <c r="L17" s="23">
        <f t="shared" si="4"/>
        <v>0</v>
      </c>
      <c r="M17" s="13"/>
      <c r="N17" s="23">
        <f>27/2</f>
        <v>13.5</v>
      </c>
      <c r="O17" s="6"/>
      <c r="P17" s="7">
        <f t="shared" si="6"/>
        <v>0</v>
      </c>
      <c r="Q17" s="7">
        <v>11</v>
      </c>
      <c r="R17" s="7">
        <f t="shared" si="7"/>
        <v>180</v>
      </c>
      <c r="S17" s="6"/>
      <c r="T17" s="7">
        <f t="shared" si="8"/>
        <v>0</v>
      </c>
      <c r="U17" s="6"/>
      <c r="V17" s="7">
        <f t="shared" si="9"/>
        <v>0</v>
      </c>
      <c r="W17" s="8">
        <f t="shared" si="10"/>
        <v>378.07943925233644</v>
      </c>
      <c r="X17" s="6">
        <f t="shared" si="11"/>
        <v>7</v>
      </c>
      <c r="Y17" s="6">
        <f>COUNTA(E17,O17,G17,I17,M17,#REF!)</f>
        <v>2</v>
      </c>
      <c r="Z17" s="16">
        <f t="shared" si="12"/>
        <v>0.25</v>
      </c>
    </row>
    <row r="18" spans="1:26" x14ac:dyDescent="0.3">
      <c r="A18" s="20">
        <f t="shared" si="0"/>
        <v>8</v>
      </c>
      <c r="B18" s="6" t="s">
        <v>157</v>
      </c>
      <c r="C18" s="6" t="s">
        <v>158</v>
      </c>
      <c r="D18" s="6" t="s">
        <v>126</v>
      </c>
      <c r="E18" s="13">
        <v>181</v>
      </c>
      <c r="F18" s="23">
        <f t="shared" si="1"/>
        <v>77.10280373831776</v>
      </c>
      <c r="G18" s="13"/>
      <c r="H18" s="23"/>
      <c r="I18" s="13"/>
      <c r="J18" s="23">
        <f t="shared" si="3"/>
        <v>0</v>
      </c>
      <c r="K18" s="13"/>
      <c r="L18" s="23">
        <f t="shared" si="4"/>
        <v>0</v>
      </c>
      <c r="M18" s="13"/>
      <c r="N18" s="23"/>
      <c r="O18" s="6"/>
      <c r="P18" s="7"/>
      <c r="Q18" s="7">
        <v>5</v>
      </c>
      <c r="R18" s="7">
        <f t="shared" si="7"/>
        <v>300</v>
      </c>
      <c r="S18" s="6"/>
      <c r="T18" s="7">
        <f t="shared" si="8"/>
        <v>0</v>
      </c>
      <c r="U18" s="6"/>
      <c r="V18" s="7">
        <f t="shared" si="9"/>
        <v>0</v>
      </c>
      <c r="W18" s="8">
        <f t="shared" si="10"/>
        <v>377.10280373831779</v>
      </c>
      <c r="X18" s="6">
        <f t="shared" si="11"/>
        <v>8</v>
      </c>
      <c r="Y18" s="6">
        <f>COUNTA(E18,O18,G18,I18,M18,#REF!)</f>
        <v>2</v>
      </c>
      <c r="Z18" s="16">
        <f t="shared" si="12"/>
        <v>0.25</v>
      </c>
    </row>
    <row r="19" spans="1:26" x14ac:dyDescent="0.3">
      <c r="A19" s="20">
        <f t="shared" si="0"/>
        <v>9</v>
      </c>
      <c r="B19" s="6" t="s">
        <v>153</v>
      </c>
      <c r="C19" s="6" t="s">
        <v>154</v>
      </c>
      <c r="D19" s="6" t="s">
        <v>126</v>
      </c>
      <c r="E19" s="13">
        <v>170</v>
      </c>
      <c r="F19" s="23">
        <f t="shared" si="1"/>
        <v>102.80373831775701</v>
      </c>
      <c r="G19" s="13"/>
      <c r="H19" s="23">
        <f>IF(G19=0,,($G$9-G19)*$G$7*100/$G$9)</f>
        <v>0</v>
      </c>
      <c r="I19" s="13"/>
      <c r="J19" s="23">
        <f t="shared" si="3"/>
        <v>0</v>
      </c>
      <c r="K19" s="13"/>
      <c r="L19" s="23">
        <f t="shared" si="4"/>
        <v>0</v>
      </c>
      <c r="M19" s="13"/>
      <c r="N19" s="23">
        <f>IF(M19=0,,($M$9-M19)*$M$7*100/$M$9)</f>
        <v>0</v>
      </c>
      <c r="O19" s="6"/>
      <c r="P19" s="7">
        <f>IF(O19=0,,($O$9-O19)*$O$7*100/$O$9)</f>
        <v>0</v>
      </c>
      <c r="Q19" s="6">
        <v>7</v>
      </c>
      <c r="R19" s="7">
        <f t="shared" si="7"/>
        <v>260</v>
      </c>
      <c r="S19" s="6"/>
      <c r="T19" s="7">
        <f t="shared" si="8"/>
        <v>0</v>
      </c>
      <c r="U19" s="6"/>
      <c r="V19" s="7">
        <f t="shared" si="9"/>
        <v>0</v>
      </c>
      <c r="W19" s="8">
        <f t="shared" si="10"/>
        <v>362.803738317757</v>
      </c>
      <c r="X19" s="6">
        <f t="shared" si="11"/>
        <v>9</v>
      </c>
      <c r="Y19" s="6">
        <f>COUNTA(E19,O19,G19,I19,M19,#REF!)</f>
        <v>2</v>
      </c>
      <c r="Z19" s="16">
        <f t="shared" si="12"/>
        <v>0.25</v>
      </c>
    </row>
    <row r="20" spans="1:26" x14ac:dyDescent="0.3">
      <c r="A20" s="20">
        <v>10</v>
      </c>
      <c r="B20" s="6" t="s">
        <v>141</v>
      </c>
      <c r="C20" s="6" t="s">
        <v>142</v>
      </c>
      <c r="D20" s="6" t="s">
        <v>126</v>
      </c>
      <c r="E20" s="13">
        <v>123</v>
      </c>
      <c r="F20" s="23">
        <f t="shared" si="1"/>
        <v>212.61682242990653</v>
      </c>
      <c r="G20" s="13"/>
      <c r="H20" s="23">
        <f>IF(G20=0,,($G$9-G20)*$G$7*100/$G$9)</f>
        <v>0</v>
      </c>
      <c r="I20" s="13"/>
      <c r="J20" s="23">
        <f t="shared" si="3"/>
        <v>0</v>
      </c>
      <c r="K20" s="13">
        <v>143</v>
      </c>
      <c r="L20" s="23">
        <f t="shared" si="4"/>
        <v>137.05583756345177</v>
      </c>
      <c r="M20" s="13"/>
      <c r="N20" s="23">
        <f>IF(M20=0,,($M$9-M20)*$M$7*100/$M$9)</f>
        <v>0</v>
      </c>
      <c r="O20" s="6"/>
      <c r="P20" s="7">
        <f>IF(O20=0,,($O$9-O20)*$O$7*100/$O$9)</f>
        <v>0</v>
      </c>
      <c r="Q20" s="6">
        <v>13</v>
      </c>
      <c r="R20" s="7">
        <f t="shared" si="7"/>
        <v>140</v>
      </c>
      <c r="S20" s="6"/>
      <c r="T20" s="7">
        <f t="shared" si="8"/>
        <v>0</v>
      </c>
      <c r="U20" s="6"/>
      <c r="V20" s="7">
        <f t="shared" si="9"/>
        <v>0</v>
      </c>
      <c r="W20" s="8">
        <f t="shared" si="10"/>
        <v>352.61682242990651</v>
      </c>
      <c r="X20" s="6">
        <f t="shared" si="11"/>
        <v>10</v>
      </c>
      <c r="Y20" s="6">
        <f>COUNTA(E20,O20,G20,I20,M20,#REF!)</f>
        <v>2</v>
      </c>
      <c r="Z20" s="16">
        <f t="shared" ref="Z20:Z33" si="13">Y20/$G$3</f>
        <v>0.25</v>
      </c>
    </row>
    <row r="21" spans="1:26" x14ac:dyDescent="0.3">
      <c r="A21" s="20">
        <v>11</v>
      </c>
      <c r="B21" s="6" t="s">
        <v>757</v>
      </c>
      <c r="C21" s="6" t="s">
        <v>498</v>
      </c>
      <c r="D21" s="6" t="s">
        <v>729</v>
      </c>
      <c r="E21" s="13"/>
      <c r="F21" s="23"/>
      <c r="G21" s="13"/>
      <c r="H21" s="23"/>
      <c r="I21" s="13"/>
      <c r="J21" s="23"/>
      <c r="K21" s="13"/>
      <c r="L21" s="23"/>
      <c r="M21" s="13"/>
      <c r="N21" s="23"/>
      <c r="O21" s="6"/>
      <c r="P21" s="7"/>
      <c r="Q21" s="7">
        <v>8</v>
      </c>
      <c r="R21" s="7">
        <f t="shared" si="7"/>
        <v>240</v>
      </c>
      <c r="S21" s="6"/>
      <c r="T21" s="7"/>
      <c r="U21" s="6"/>
      <c r="V21" s="7">
        <f t="shared" si="9"/>
        <v>0</v>
      </c>
      <c r="W21" s="8">
        <f t="shared" si="10"/>
        <v>240</v>
      </c>
      <c r="X21" s="6">
        <f t="shared" si="11"/>
        <v>11</v>
      </c>
      <c r="Y21" s="6"/>
      <c r="Z21" s="16"/>
    </row>
    <row r="22" spans="1:26" x14ac:dyDescent="0.3">
      <c r="A22" s="20">
        <v>12</v>
      </c>
      <c r="B22" s="6" t="s">
        <v>298</v>
      </c>
      <c r="C22" s="6" t="s">
        <v>301</v>
      </c>
      <c r="D22" s="6" t="s">
        <v>140</v>
      </c>
      <c r="E22" s="13"/>
      <c r="F22" s="23"/>
      <c r="G22" s="13"/>
      <c r="H22" s="23"/>
      <c r="I22" s="13"/>
      <c r="J22" s="23"/>
      <c r="K22" s="13"/>
      <c r="L22" s="23"/>
      <c r="M22" s="13"/>
      <c r="N22" s="23"/>
      <c r="O22" s="6"/>
      <c r="P22" s="7"/>
      <c r="Q22" s="7">
        <v>9</v>
      </c>
      <c r="R22" s="7">
        <f t="shared" si="7"/>
        <v>220</v>
      </c>
      <c r="S22" s="6"/>
      <c r="T22" s="7"/>
      <c r="U22" s="6"/>
      <c r="V22" s="7">
        <f t="shared" si="9"/>
        <v>0</v>
      </c>
      <c r="W22" s="8">
        <f t="shared" si="10"/>
        <v>220</v>
      </c>
      <c r="X22" s="6">
        <f t="shared" si="11"/>
        <v>12</v>
      </c>
      <c r="Y22" s="6"/>
      <c r="Z22" s="16"/>
    </row>
    <row r="23" spans="1:26" x14ac:dyDescent="0.3">
      <c r="A23" s="20">
        <v>13</v>
      </c>
      <c r="B23" s="6" t="s">
        <v>147</v>
      </c>
      <c r="C23" s="6" t="s">
        <v>148</v>
      </c>
      <c r="D23" s="6" t="s">
        <v>123</v>
      </c>
      <c r="E23" s="13">
        <v>144</v>
      </c>
      <c r="F23" s="23">
        <f>IF(E23=0,,($E$9-E23)*$E$7*100/$E$9)</f>
        <v>163.55140186915887</v>
      </c>
      <c r="G23" s="13"/>
      <c r="H23" s="23">
        <f>IF(G23=0,,($G$9-G23)*$G$7*100/$G$9)</f>
        <v>0</v>
      </c>
      <c r="I23" s="13"/>
      <c r="J23" s="23">
        <f>IF(I23=0,,($I$9-I23)*$I$7*100/$I$9)</f>
        <v>0</v>
      </c>
      <c r="K23" s="13">
        <v>135</v>
      </c>
      <c r="L23" s="23">
        <f>IF(K23=0,,($K$9-K23)*$K$7*100/$K$9)</f>
        <v>157.36040609137055</v>
      </c>
      <c r="M23" s="13"/>
      <c r="N23" s="23">
        <f>IF(M23=0,,($M$9-M23)*$M$7*100/$M$9)</f>
        <v>0</v>
      </c>
      <c r="O23" s="6"/>
      <c r="P23" s="7">
        <f>IF(O23=0,,($O$9-O23)*$O$7*100/$O$9)</f>
        <v>0</v>
      </c>
      <c r="Q23" s="6"/>
      <c r="R23" s="7">
        <f t="shared" si="7"/>
        <v>0</v>
      </c>
      <c r="S23" s="6"/>
      <c r="T23" s="7">
        <f>IF(S23=0,,($S$9-S23)*$S$7*100/$S$9)</f>
        <v>0</v>
      </c>
      <c r="U23" s="6"/>
      <c r="V23" s="7">
        <f t="shared" si="9"/>
        <v>0</v>
      </c>
      <c r="W23" s="8">
        <f t="shared" si="10"/>
        <v>163.55140186915887</v>
      </c>
      <c r="X23" s="6">
        <f t="shared" si="11"/>
        <v>13</v>
      </c>
      <c r="Y23" s="6"/>
      <c r="Z23" s="16"/>
    </row>
    <row r="24" spans="1:26" x14ac:dyDescent="0.3">
      <c r="A24" s="20">
        <v>14</v>
      </c>
      <c r="B24" s="6" t="s">
        <v>299</v>
      </c>
      <c r="C24" s="6" t="s">
        <v>224</v>
      </c>
      <c r="D24" s="6" t="s">
        <v>140</v>
      </c>
      <c r="E24" s="13"/>
      <c r="F24" s="23"/>
      <c r="G24" s="13"/>
      <c r="H24" s="23"/>
      <c r="I24" s="13"/>
      <c r="J24" s="23"/>
      <c r="K24" s="13"/>
      <c r="L24" s="23"/>
      <c r="M24" s="13"/>
      <c r="N24" s="23"/>
      <c r="O24" s="6"/>
      <c r="P24" s="7"/>
      <c r="Q24" s="7">
        <v>12</v>
      </c>
      <c r="R24" s="7">
        <f t="shared" si="7"/>
        <v>160</v>
      </c>
      <c r="S24" s="6"/>
      <c r="T24" s="7"/>
      <c r="U24" s="6"/>
      <c r="V24" s="7">
        <f t="shared" si="9"/>
        <v>0</v>
      </c>
      <c r="W24" s="8">
        <f t="shared" si="10"/>
        <v>160</v>
      </c>
      <c r="X24" s="6">
        <f t="shared" si="11"/>
        <v>14</v>
      </c>
      <c r="Y24" s="6"/>
      <c r="Z24" s="16"/>
    </row>
    <row r="25" spans="1:26" x14ac:dyDescent="0.3">
      <c r="A25" s="20">
        <v>15</v>
      </c>
      <c r="B25" s="6" t="s">
        <v>758</v>
      </c>
      <c r="C25" s="6" t="s">
        <v>759</v>
      </c>
      <c r="D25" s="6" t="s">
        <v>729</v>
      </c>
      <c r="E25" s="13"/>
      <c r="F25" s="23"/>
      <c r="G25" s="13"/>
      <c r="H25" s="23"/>
      <c r="I25" s="13"/>
      <c r="J25" s="23"/>
      <c r="K25" s="13"/>
      <c r="L25" s="23"/>
      <c r="M25" s="13"/>
      <c r="N25" s="23"/>
      <c r="O25" s="6"/>
      <c r="P25" s="7"/>
      <c r="Q25" s="7">
        <v>14</v>
      </c>
      <c r="R25" s="7">
        <f t="shared" si="7"/>
        <v>120</v>
      </c>
      <c r="S25" s="6"/>
      <c r="T25" s="7"/>
      <c r="U25" s="6"/>
      <c r="V25" s="7">
        <f t="shared" si="9"/>
        <v>0</v>
      </c>
      <c r="W25" s="8">
        <f t="shared" si="10"/>
        <v>120</v>
      </c>
      <c r="X25" s="6">
        <f t="shared" si="11"/>
        <v>15</v>
      </c>
      <c r="Y25" s="6"/>
      <c r="Z25" s="16"/>
    </row>
    <row r="26" spans="1:26" x14ac:dyDescent="0.3">
      <c r="A26" s="20">
        <v>16</v>
      </c>
      <c r="B26" s="6" t="s">
        <v>760</v>
      </c>
      <c r="C26" s="6" t="s">
        <v>222</v>
      </c>
      <c r="D26" s="6" t="s">
        <v>729</v>
      </c>
      <c r="E26" s="13"/>
      <c r="F26" s="23"/>
      <c r="G26" s="13"/>
      <c r="H26" s="23"/>
      <c r="I26" s="13"/>
      <c r="J26" s="23"/>
      <c r="K26" s="13"/>
      <c r="L26" s="23"/>
      <c r="M26" s="13"/>
      <c r="N26" s="23"/>
      <c r="O26" s="6"/>
      <c r="P26" s="7"/>
      <c r="Q26" s="7">
        <v>15</v>
      </c>
      <c r="R26" s="7">
        <f t="shared" si="7"/>
        <v>100</v>
      </c>
      <c r="S26" s="6"/>
      <c r="T26" s="7"/>
      <c r="U26" s="6"/>
      <c r="V26" s="7">
        <f t="shared" si="9"/>
        <v>0</v>
      </c>
      <c r="W26" s="8">
        <f t="shared" si="10"/>
        <v>100</v>
      </c>
      <c r="X26" s="6">
        <f t="shared" si="11"/>
        <v>16</v>
      </c>
      <c r="Y26" s="6"/>
      <c r="Z26" s="16"/>
    </row>
    <row r="27" spans="1:26" x14ac:dyDescent="0.3">
      <c r="A27" s="20">
        <v>17</v>
      </c>
      <c r="B27" s="6" t="s">
        <v>155</v>
      </c>
      <c r="C27" s="6" t="s">
        <v>156</v>
      </c>
      <c r="D27" s="6" t="s">
        <v>126</v>
      </c>
      <c r="E27" s="13">
        <v>173</v>
      </c>
      <c r="F27" s="23">
        <f>IF(E27=0,,($E$9-E27)*$E$7*100/$E$9)</f>
        <v>95.794392523364479</v>
      </c>
      <c r="G27" s="13"/>
      <c r="H27" s="23">
        <f>IF(G27=0,,($G$9-G27)*$G$7*100/$G$9)</f>
        <v>0</v>
      </c>
      <c r="I27" s="13"/>
      <c r="J27" s="23">
        <f>IF(I27=0,,($I$9-I27)*$I$7*100/$I$9)</f>
        <v>0</v>
      </c>
      <c r="K27" s="13"/>
      <c r="L27" s="23">
        <f>IF(K27=0,,($K$9-K27)*$K$7*100/$K$9)</f>
        <v>0</v>
      </c>
      <c r="M27" s="13"/>
      <c r="N27" s="23">
        <f>IF(M27=0,,($M$9-M27)*$M$7*100/$M$9)</f>
        <v>0</v>
      </c>
      <c r="O27" s="6"/>
      <c r="P27" s="7">
        <f>IF(O27=0,,($O$9-O27)*$O$7*100/$O$9)</f>
        <v>0</v>
      </c>
      <c r="Q27" s="7"/>
      <c r="R27" s="7">
        <f t="shared" si="7"/>
        <v>0</v>
      </c>
      <c r="S27" s="6"/>
      <c r="T27" s="7">
        <f>IF(S27=0,,($S$9-S27)*$S$7*100/$S$9)</f>
        <v>0</v>
      </c>
      <c r="U27" s="6"/>
      <c r="V27" s="7">
        <f t="shared" si="9"/>
        <v>0</v>
      </c>
      <c r="W27" s="8">
        <f t="shared" si="10"/>
        <v>95.794392523364479</v>
      </c>
      <c r="X27" s="6">
        <f t="shared" si="11"/>
        <v>17</v>
      </c>
      <c r="Y27" s="6"/>
      <c r="Z27" s="16"/>
    </row>
    <row r="28" spans="1:26" x14ac:dyDescent="0.3">
      <c r="A28" s="20">
        <v>18</v>
      </c>
      <c r="B28" s="6" t="s">
        <v>761</v>
      </c>
      <c r="C28" s="6" t="s">
        <v>762</v>
      </c>
      <c r="D28" s="6" t="s">
        <v>126</v>
      </c>
      <c r="E28" s="13"/>
      <c r="F28" s="23"/>
      <c r="G28" s="13"/>
      <c r="H28" s="23"/>
      <c r="I28" s="13"/>
      <c r="J28" s="23"/>
      <c r="K28" s="13"/>
      <c r="L28" s="23"/>
      <c r="M28" s="13"/>
      <c r="N28" s="23"/>
      <c r="O28" s="6"/>
      <c r="P28" s="7"/>
      <c r="Q28" s="7">
        <v>16</v>
      </c>
      <c r="R28" s="7">
        <f t="shared" si="7"/>
        <v>80</v>
      </c>
      <c r="S28" s="6"/>
      <c r="T28" s="7"/>
      <c r="U28" s="6"/>
      <c r="V28" s="7">
        <f t="shared" si="9"/>
        <v>0</v>
      </c>
      <c r="W28" s="8">
        <f t="shared" si="10"/>
        <v>80</v>
      </c>
      <c r="X28" s="6">
        <f t="shared" si="11"/>
        <v>18</v>
      </c>
      <c r="Y28" s="6"/>
      <c r="Z28" s="16"/>
    </row>
    <row r="29" spans="1:26" x14ac:dyDescent="0.3">
      <c r="A29" s="20">
        <v>19</v>
      </c>
      <c r="B29" s="6" t="s">
        <v>763</v>
      </c>
      <c r="C29" s="6" t="s">
        <v>148</v>
      </c>
      <c r="D29" s="6" t="s">
        <v>561</v>
      </c>
      <c r="E29" s="13"/>
      <c r="F29" s="23"/>
      <c r="G29" s="13"/>
      <c r="H29" s="23"/>
      <c r="I29" s="13"/>
      <c r="J29" s="23"/>
      <c r="K29" s="13"/>
      <c r="L29" s="23"/>
      <c r="M29" s="13"/>
      <c r="N29" s="23"/>
      <c r="O29" s="6"/>
      <c r="P29" s="7"/>
      <c r="Q29" s="7">
        <v>17</v>
      </c>
      <c r="R29" s="7">
        <f t="shared" si="7"/>
        <v>60</v>
      </c>
      <c r="S29" s="6"/>
      <c r="T29" s="7"/>
      <c r="U29" s="6"/>
      <c r="V29" s="7">
        <f t="shared" si="9"/>
        <v>0</v>
      </c>
      <c r="W29" s="8">
        <f t="shared" si="10"/>
        <v>60</v>
      </c>
      <c r="X29" s="6">
        <f t="shared" si="11"/>
        <v>19</v>
      </c>
      <c r="Y29" s="6"/>
      <c r="Z29" s="16"/>
    </row>
    <row r="30" spans="1:26" x14ac:dyDescent="0.3">
      <c r="A30" s="20">
        <v>20</v>
      </c>
      <c r="B30" s="6" t="s">
        <v>628</v>
      </c>
      <c r="C30" s="6" t="s">
        <v>224</v>
      </c>
      <c r="D30" s="6" t="s">
        <v>126</v>
      </c>
      <c r="E30" s="13"/>
      <c r="F30" s="23"/>
      <c r="G30" s="13"/>
      <c r="H30" s="23"/>
      <c r="I30" s="13"/>
      <c r="J30" s="23"/>
      <c r="K30" s="13"/>
      <c r="L30" s="23"/>
      <c r="M30" s="13"/>
      <c r="N30" s="23"/>
      <c r="O30" s="6"/>
      <c r="P30" s="7"/>
      <c r="Q30" s="7">
        <v>18</v>
      </c>
      <c r="R30" s="7">
        <f t="shared" si="7"/>
        <v>40</v>
      </c>
      <c r="S30" s="6"/>
      <c r="T30" s="7"/>
      <c r="U30" s="6"/>
      <c r="V30" s="7">
        <f t="shared" si="9"/>
        <v>0</v>
      </c>
      <c r="W30" s="8">
        <f t="shared" si="10"/>
        <v>40</v>
      </c>
      <c r="X30" s="6">
        <f t="shared" si="11"/>
        <v>20</v>
      </c>
      <c r="Y30" s="6"/>
      <c r="Z30" s="16"/>
    </row>
    <row r="31" spans="1:26" x14ac:dyDescent="0.3">
      <c r="A31" s="20">
        <v>21</v>
      </c>
      <c r="B31" s="6" t="s">
        <v>764</v>
      </c>
      <c r="C31" s="6" t="s">
        <v>765</v>
      </c>
      <c r="D31" s="6" t="s">
        <v>766</v>
      </c>
      <c r="E31" s="13"/>
      <c r="F31" s="23"/>
      <c r="G31" s="13"/>
      <c r="H31" s="23"/>
      <c r="I31" s="13"/>
      <c r="J31" s="23"/>
      <c r="K31" s="13"/>
      <c r="L31" s="23"/>
      <c r="M31" s="13"/>
      <c r="N31" s="23"/>
      <c r="O31" s="6"/>
      <c r="P31" s="7"/>
      <c r="Q31" s="7">
        <v>19</v>
      </c>
      <c r="R31" s="7">
        <f t="shared" si="7"/>
        <v>20</v>
      </c>
      <c r="S31" s="6"/>
      <c r="T31" s="7"/>
      <c r="U31" s="6"/>
      <c r="V31" s="7">
        <f t="shared" si="9"/>
        <v>0</v>
      </c>
      <c r="W31" s="8">
        <f t="shared" si="10"/>
        <v>20</v>
      </c>
      <c r="X31" s="6">
        <f t="shared" si="11"/>
        <v>21</v>
      </c>
      <c r="Y31" s="6"/>
      <c r="Z31" s="16"/>
    </row>
    <row r="32" spans="1:26" x14ac:dyDescent="0.3">
      <c r="A32" s="20">
        <v>22</v>
      </c>
      <c r="B32" s="6" t="s">
        <v>159</v>
      </c>
      <c r="C32" s="6" t="s">
        <v>160</v>
      </c>
      <c r="D32" s="6" t="s">
        <v>126</v>
      </c>
      <c r="E32" s="13">
        <v>207</v>
      </c>
      <c r="F32" s="23">
        <f>IF(E32=0,,($E$9-E32)*$E$7*100/$E$9)</f>
        <v>16.355140186915889</v>
      </c>
      <c r="G32" s="13"/>
      <c r="H32" s="23"/>
      <c r="I32" s="13"/>
      <c r="J32" s="23">
        <f>IF(I32=0,,($I$9-I32)*$I$7*100/$I$9)</f>
        <v>0</v>
      </c>
      <c r="K32" s="13"/>
      <c r="L32" s="23">
        <f>IF(K32=0,,($K$9-K32)*$K$7*100/$K$9)</f>
        <v>0</v>
      </c>
      <c r="M32" s="13"/>
      <c r="N32" s="23"/>
      <c r="O32" s="6"/>
      <c r="P32" s="7"/>
      <c r="Q32" s="7"/>
      <c r="R32" s="7">
        <f t="shared" si="7"/>
        <v>0</v>
      </c>
      <c r="S32" s="6"/>
      <c r="T32" s="7">
        <f>IF(S32=0,,($S$9-S32)*$S$7*100/$S$9)</f>
        <v>0</v>
      </c>
      <c r="U32" s="6"/>
      <c r="V32" s="7">
        <f t="shared" si="9"/>
        <v>0</v>
      </c>
      <c r="W32" s="8">
        <f t="shared" si="10"/>
        <v>16.355140186915889</v>
      </c>
      <c r="X32" s="6">
        <f t="shared" si="11"/>
        <v>22</v>
      </c>
      <c r="Y32" s="6">
        <f>COUNTA(E32,O32,G32,I32,M32,#REF!)</f>
        <v>2</v>
      </c>
      <c r="Z32" s="16">
        <f t="shared" si="13"/>
        <v>0.25</v>
      </c>
    </row>
    <row r="33" spans="1:26" x14ac:dyDescent="0.3">
      <c r="A33" s="20">
        <v>23</v>
      </c>
      <c r="B33" s="6" t="s">
        <v>157</v>
      </c>
      <c r="C33" s="6" t="s">
        <v>161</v>
      </c>
      <c r="D33" s="6" t="s">
        <v>126</v>
      </c>
      <c r="E33" s="13">
        <v>214</v>
      </c>
      <c r="F33" s="23">
        <f>IF(E33=0,,($E$9-E33)*$E$7*100/$E$9)</f>
        <v>0</v>
      </c>
      <c r="G33" s="13"/>
      <c r="H33" s="23">
        <f>IF(G33=0,,($G$9-G33)*$G$7*100/$G$9)</f>
        <v>0</v>
      </c>
      <c r="I33" s="13"/>
      <c r="J33" s="23">
        <f>IF(I33=0,,($I$9-I33)*$I$7*100/$I$9)</f>
        <v>0</v>
      </c>
      <c r="K33" s="13"/>
      <c r="L33" s="23">
        <f>IF(K33=0,,($K$9-K33)*$K$7*100/$K$9)</f>
        <v>0</v>
      </c>
      <c r="M33" s="13"/>
      <c r="N33" s="23">
        <f>IF(M33=0,,($M$9-M33)*$M$7*100/$M$9)</f>
        <v>0</v>
      </c>
      <c r="O33" s="6"/>
      <c r="P33" s="7">
        <f>IF(O33=0,,($O$9-O33)*$O$7*100/$O$9)</f>
        <v>0</v>
      </c>
      <c r="Q33" s="7">
        <v>20</v>
      </c>
      <c r="R33" s="7">
        <f>20/2</f>
        <v>10</v>
      </c>
      <c r="S33" s="6"/>
      <c r="T33" s="7">
        <f>IF(S33=0,,($S$9-S33)*$S$7*100/$S$9)</f>
        <v>0</v>
      </c>
      <c r="U33" s="6"/>
      <c r="V33" s="7">
        <f t="shared" si="9"/>
        <v>0</v>
      </c>
      <c r="W33" s="8">
        <f t="shared" si="10"/>
        <v>10</v>
      </c>
      <c r="X33" s="6">
        <f t="shared" si="11"/>
        <v>23</v>
      </c>
      <c r="Y33" s="6">
        <f>COUNTA(E33,O33,G33,I33,M33,#REF!)</f>
        <v>2</v>
      </c>
      <c r="Z33" s="16">
        <f t="shared" si="13"/>
        <v>0.25</v>
      </c>
    </row>
    <row r="34" spans="1:26" x14ac:dyDescent="0.3">
      <c r="A34" s="52" t="s">
        <v>11</v>
      </c>
      <c r="B34" s="52"/>
      <c r="C34" s="53"/>
      <c r="E34">
        <f>COUNTA(E11:E33)</f>
        <v>14</v>
      </c>
      <c r="G34">
        <f>COUNTA(G11:G33)</f>
        <v>1</v>
      </c>
      <c r="I34">
        <f>COUNTA(I11:I33)</f>
        <v>5</v>
      </c>
      <c r="K34">
        <f>COUNTA(M11:M33)</f>
        <v>0</v>
      </c>
      <c r="M34">
        <f>COUNTA(O11:O33)</f>
        <v>0</v>
      </c>
    </row>
    <row r="35" spans="1:26" x14ac:dyDescent="0.3">
      <c r="A35" s="51" t="s">
        <v>21</v>
      </c>
      <c r="B35" s="52"/>
      <c r="C35" s="53"/>
      <c r="E35" s="15">
        <f>E34/$G$2</f>
        <v>0.60869565217391308</v>
      </c>
      <c r="G35" s="15">
        <f>G34/$G$2</f>
        <v>4.3478260869565216E-2</v>
      </c>
      <c r="I35" s="15">
        <f>I34/$G$2</f>
        <v>0.21739130434782608</v>
      </c>
      <c r="K35" s="15">
        <f>K34/$G$2</f>
        <v>0</v>
      </c>
      <c r="M35" s="15">
        <f>M34/$G$2</f>
        <v>0</v>
      </c>
    </row>
    <row r="40" spans="1:26" x14ac:dyDescent="0.3">
      <c r="T40" t="s">
        <v>12</v>
      </c>
    </row>
    <row r="41" spans="1:26" x14ac:dyDescent="0.3">
      <c r="T41" t="s">
        <v>12</v>
      </c>
    </row>
    <row r="42" spans="1:26" x14ac:dyDescent="0.3">
      <c r="T42" t="s">
        <v>12</v>
      </c>
    </row>
    <row r="43" spans="1:26" x14ac:dyDescent="0.3">
      <c r="T43" t="s">
        <v>12</v>
      </c>
    </row>
    <row r="44" spans="1:26" x14ac:dyDescent="0.3">
      <c r="T44" t="s">
        <v>12</v>
      </c>
    </row>
    <row r="45" spans="1:26" x14ac:dyDescent="0.3">
      <c r="T45" t="s">
        <v>12</v>
      </c>
    </row>
    <row r="46" spans="1:26" x14ac:dyDescent="0.3">
      <c r="T46" t="s">
        <v>12</v>
      </c>
    </row>
    <row r="47" spans="1:26" x14ac:dyDescent="0.3">
      <c r="T47" t="s">
        <v>12</v>
      </c>
    </row>
    <row r="48" spans="1:26" x14ac:dyDescent="0.3">
      <c r="T48" t="s">
        <v>12</v>
      </c>
    </row>
    <row r="49" spans="20:20" x14ac:dyDescent="0.3">
      <c r="T49" t="s">
        <v>12</v>
      </c>
    </row>
    <row r="50" spans="20:20" x14ac:dyDescent="0.3">
      <c r="T50" t="s">
        <v>12</v>
      </c>
    </row>
    <row r="51" spans="20:20" x14ac:dyDescent="0.3">
      <c r="T51" t="s">
        <v>12</v>
      </c>
    </row>
    <row r="52" spans="20:20" x14ac:dyDescent="0.3">
      <c r="T52" t="s">
        <v>12</v>
      </c>
    </row>
    <row r="53" spans="20:20" x14ac:dyDescent="0.3">
      <c r="T53" t="s">
        <v>12</v>
      </c>
    </row>
    <row r="54" spans="20:20" x14ac:dyDescent="0.3">
      <c r="T54" t="s">
        <v>12</v>
      </c>
    </row>
    <row r="55" spans="20:20" x14ac:dyDescent="0.3">
      <c r="T55" t="s">
        <v>12</v>
      </c>
    </row>
    <row r="56" spans="20:20" x14ac:dyDescent="0.3">
      <c r="T56" t="s">
        <v>12</v>
      </c>
    </row>
    <row r="57" spans="20:20" x14ac:dyDescent="0.3">
      <c r="T57" t="s">
        <v>12</v>
      </c>
    </row>
    <row r="58" spans="20:20" x14ac:dyDescent="0.3">
      <c r="T58" t="s">
        <v>12</v>
      </c>
    </row>
    <row r="59" spans="20:20" x14ac:dyDescent="0.3">
      <c r="T59" t="s">
        <v>12</v>
      </c>
    </row>
    <row r="60" spans="20:20" x14ac:dyDescent="0.3">
      <c r="T60" t="s">
        <v>12</v>
      </c>
    </row>
    <row r="61" spans="20:20" x14ac:dyDescent="0.3">
      <c r="T61" t="s">
        <v>12</v>
      </c>
    </row>
    <row r="62" spans="20:20" x14ac:dyDescent="0.3">
      <c r="T62" t="s">
        <v>12</v>
      </c>
    </row>
    <row r="63" spans="20:20" x14ac:dyDescent="0.3">
      <c r="T63" t="s">
        <v>12</v>
      </c>
    </row>
    <row r="64" spans="20:20" x14ac:dyDescent="0.3">
      <c r="T64" t="s">
        <v>12</v>
      </c>
    </row>
    <row r="65" spans="20:20" x14ac:dyDescent="0.3">
      <c r="T65" t="s">
        <v>12</v>
      </c>
    </row>
    <row r="66" spans="20:20" x14ac:dyDescent="0.3">
      <c r="T66" t="s">
        <v>12</v>
      </c>
    </row>
    <row r="67" spans="20:20" x14ac:dyDescent="0.3">
      <c r="T67" t="s">
        <v>12</v>
      </c>
    </row>
    <row r="68" spans="20:20" x14ac:dyDescent="0.3">
      <c r="T68" t="s">
        <v>12</v>
      </c>
    </row>
    <row r="69" spans="20:20" x14ac:dyDescent="0.3">
      <c r="T69" t="s">
        <v>12</v>
      </c>
    </row>
    <row r="70" spans="20:20" x14ac:dyDescent="0.3">
      <c r="T70" t="s">
        <v>12</v>
      </c>
    </row>
    <row r="71" spans="20:20" x14ac:dyDescent="0.3">
      <c r="T71" t="s">
        <v>12</v>
      </c>
    </row>
    <row r="72" spans="20:20" x14ac:dyDescent="0.3">
      <c r="T72" t="s">
        <v>12</v>
      </c>
    </row>
    <row r="73" spans="20:20" x14ac:dyDescent="0.3">
      <c r="T73" t="s">
        <v>12</v>
      </c>
    </row>
    <row r="74" spans="20:20" x14ac:dyDescent="0.3">
      <c r="T74" t="s">
        <v>12</v>
      </c>
    </row>
    <row r="75" spans="20:20" x14ac:dyDescent="0.3">
      <c r="T75" t="s">
        <v>12</v>
      </c>
    </row>
    <row r="76" spans="20:20" x14ac:dyDescent="0.3">
      <c r="T76" t="s">
        <v>12</v>
      </c>
    </row>
    <row r="77" spans="20:20" x14ac:dyDescent="0.3">
      <c r="T77" t="s">
        <v>12</v>
      </c>
    </row>
    <row r="78" spans="20:20" x14ac:dyDescent="0.3">
      <c r="T78" t="s">
        <v>12</v>
      </c>
    </row>
    <row r="79" spans="20:20" x14ac:dyDescent="0.3">
      <c r="T79" t="s">
        <v>12</v>
      </c>
    </row>
    <row r="80" spans="20:20" x14ac:dyDescent="0.3">
      <c r="T80" t="s">
        <v>12</v>
      </c>
    </row>
    <row r="81" spans="20:20" x14ac:dyDescent="0.3">
      <c r="T81" t="s">
        <v>12</v>
      </c>
    </row>
    <row r="82" spans="20:20" x14ac:dyDescent="0.3">
      <c r="T82" t="s">
        <v>12</v>
      </c>
    </row>
    <row r="83" spans="20:20" x14ac:dyDescent="0.3">
      <c r="T83" t="s">
        <v>12</v>
      </c>
    </row>
    <row r="84" spans="20:20" x14ac:dyDescent="0.3">
      <c r="T84" t="s">
        <v>12</v>
      </c>
    </row>
    <row r="85" spans="20:20" x14ac:dyDescent="0.3">
      <c r="T85" t="s">
        <v>12</v>
      </c>
    </row>
    <row r="86" spans="20:20" x14ac:dyDescent="0.3">
      <c r="T86" t="s">
        <v>12</v>
      </c>
    </row>
    <row r="87" spans="20:20" x14ac:dyDescent="0.3">
      <c r="T87" t="s">
        <v>12</v>
      </c>
    </row>
    <row r="88" spans="20:20" x14ac:dyDescent="0.3">
      <c r="T88" t="s">
        <v>12</v>
      </c>
    </row>
    <row r="89" spans="20:20" x14ac:dyDescent="0.3">
      <c r="T89" t="s">
        <v>12</v>
      </c>
    </row>
    <row r="90" spans="20:20" x14ac:dyDescent="0.3">
      <c r="T90" t="s">
        <v>12</v>
      </c>
    </row>
    <row r="91" spans="20:20" x14ac:dyDescent="0.3">
      <c r="T91" t="s">
        <v>12</v>
      </c>
    </row>
    <row r="92" spans="20:20" x14ac:dyDescent="0.3">
      <c r="T92" t="s">
        <v>12</v>
      </c>
    </row>
    <row r="93" spans="20:20" x14ac:dyDescent="0.3">
      <c r="T93" t="s">
        <v>12</v>
      </c>
    </row>
    <row r="94" spans="20:20" x14ac:dyDescent="0.3">
      <c r="T94" t="s">
        <v>12</v>
      </c>
    </row>
    <row r="95" spans="20:20" x14ac:dyDescent="0.3">
      <c r="T95" t="s">
        <v>12</v>
      </c>
    </row>
    <row r="96" spans="20:20" x14ac:dyDescent="0.3">
      <c r="T96" t="s">
        <v>12</v>
      </c>
    </row>
    <row r="97" spans="20:20" x14ac:dyDescent="0.3">
      <c r="T97" t="s">
        <v>12</v>
      </c>
    </row>
    <row r="98" spans="20:20" x14ac:dyDescent="0.3">
      <c r="T98" t="s">
        <v>12</v>
      </c>
    </row>
    <row r="99" spans="20:20" x14ac:dyDescent="0.3">
      <c r="T99" t="s">
        <v>12</v>
      </c>
    </row>
    <row r="100" spans="20:20" x14ac:dyDescent="0.3">
      <c r="T100" t="s">
        <v>12</v>
      </c>
    </row>
    <row r="101" spans="20:20" x14ac:dyDescent="0.3">
      <c r="T101" t="s">
        <v>12</v>
      </c>
    </row>
    <row r="102" spans="20:20" x14ac:dyDescent="0.3">
      <c r="T102" t="s">
        <v>12</v>
      </c>
    </row>
    <row r="103" spans="20:20" x14ac:dyDescent="0.3">
      <c r="T103" t="s">
        <v>12</v>
      </c>
    </row>
    <row r="104" spans="20:20" x14ac:dyDescent="0.3">
      <c r="T104" t="s">
        <v>12</v>
      </c>
    </row>
    <row r="105" spans="20:20" x14ac:dyDescent="0.3">
      <c r="T105" t="s">
        <v>23</v>
      </c>
    </row>
    <row r="106" spans="20:20" x14ac:dyDescent="0.3">
      <c r="T106" t="s">
        <v>12</v>
      </c>
    </row>
    <row r="107" spans="20:20" x14ac:dyDescent="0.3">
      <c r="T107" t="s">
        <v>12</v>
      </c>
    </row>
    <row r="108" spans="20:20" x14ac:dyDescent="0.3">
      <c r="T108" t="s">
        <v>12</v>
      </c>
    </row>
    <row r="109" spans="20:20" x14ac:dyDescent="0.3">
      <c r="T109" t="s">
        <v>12</v>
      </c>
    </row>
    <row r="110" spans="20:20" x14ac:dyDescent="0.3">
      <c r="T110" t="s">
        <v>12</v>
      </c>
    </row>
    <row r="111" spans="20:20" x14ac:dyDescent="0.3">
      <c r="T111" t="s">
        <v>12</v>
      </c>
    </row>
    <row r="112" spans="20:20" x14ac:dyDescent="0.3">
      <c r="T112" t="s">
        <v>12</v>
      </c>
    </row>
    <row r="113" spans="20:20" x14ac:dyDescent="0.3">
      <c r="T113" t="s">
        <v>12</v>
      </c>
    </row>
    <row r="114" spans="20:20" x14ac:dyDescent="0.3">
      <c r="T114" t="s">
        <v>12</v>
      </c>
    </row>
    <row r="115" spans="20:20" x14ac:dyDescent="0.3">
      <c r="T115" t="s">
        <v>12</v>
      </c>
    </row>
    <row r="116" spans="20:20" x14ac:dyDescent="0.3">
      <c r="T116" t="s">
        <v>12</v>
      </c>
    </row>
    <row r="117" spans="20:20" x14ac:dyDescent="0.3">
      <c r="T117" t="s">
        <v>12</v>
      </c>
    </row>
    <row r="118" spans="20:20" x14ac:dyDescent="0.3">
      <c r="T118" t="s">
        <v>12</v>
      </c>
    </row>
    <row r="119" spans="20:20" x14ac:dyDescent="0.3">
      <c r="T119" t="s">
        <v>12</v>
      </c>
    </row>
    <row r="120" spans="20:20" x14ac:dyDescent="0.3">
      <c r="T120" t="s">
        <v>12</v>
      </c>
    </row>
    <row r="121" spans="20:20" x14ac:dyDescent="0.3">
      <c r="T121" t="s">
        <v>12</v>
      </c>
    </row>
    <row r="122" spans="20:20" x14ac:dyDescent="0.3">
      <c r="T122" t="s">
        <v>12</v>
      </c>
    </row>
    <row r="123" spans="20:20" x14ac:dyDescent="0.3">
      <c r="T123" t="s">
        <v>12</v>
      </c>
    </row>
    <row r="124" spans="20:20" x14ac:dyDescent="0.3">
      <c r="T124" t="s">
        <v>12</v>
      </c>
    </row>
    <row r="125" spans="20:20" x14ac:dyDescent="0.3">
      <c r="T125" t="s">
        <v>12</v>
      </c>
    </row>
    <row r="126" spans="20:20" x14ac:dyDescent="0.3">
      <c r="T126" t="s">
        <v>12</v>
      </c>
    </row>
    <row r="127" spans="20:20" x14ac:dyDescent="0.3">
      <c r="T127" t="s">
        <v>12</v>
      </c>
    </row>
    <row r="128" spans="20:20" x14ac:dyDescent="0.3">
      <c r="T128" t="s">
        <v>12</v>
      </c>
    </row>
    <row r="129" spans="20:20" x14ac:dyDescent="0.3">
      <c r="T129" t="s">
        <v>12</v>
      </c>
    </row>
    <row r="130" spans="20:20" x14ac:dyDescent="0.3">
      <c r="T130" t="s">
        <v>12</v>
      </c>
    </row>
    <row r="131" spans="20:20" x14ac:dyDescent="0.3">
      <c r="T131" t="s">
        <v>12</v>
      </c>
    </row>
    <row r="132" spans="20:20" x14ac:dyDescent="0.3">
      <c r="T132" t="s">
        <v>12</v>
      </c>
    </row>
    <row r="133" spans="20:20" x14ac:dyDescent="0.3">
      <c r="T133" t="s">
        <v>12</v>
      </c>
    </row>
    <row r="134" spans="20:20" x14ac:dyDescent="0.3">
      <c r="T134" t="s">
        <v>12</v>
      </c>
    </row>
    <row r="135" spans="20:20" x14ac:dyDescent="0.3">
      <c r="T135" t="s">
        <v>12</v>
      </c>
    </row>
    <row r="136" spans="20:20" x14ac:dyDescent="0.3">
      <c r="T136" t="s">
        <v>12</v>
      </c>
    </row>
    <row r="137" spans="20:20" x14ac:dyDescent="0.3">
      <c r="T137" t="s">
        <v>12</v>
      </c>
    </row>
    <row r="138" spans="20:20" x14ac:dyDescent="0.3">
      <c r="T138" t="s">
        <v>12</v>
      </c>
    </row>
    <row r="139" spans="20:20" x14ac:dyDescent="0.3">
      <c r="T139" t="s">
        <v>12</v>
      </c>
    </row>
    <row r="140" spans="20:20" x14ac:dyDescent="0.3">
      <c r="T140" t="s">
        <v>12</v>
      </c>
    </row>
  </sheetData>
  <sortState xmlns:xlrd2="http://schemas.microsoft.com/office/spreadsheetml/2017/richdata2" ref="B11:W33">
    <sortCondition descending="1" ref="W11:W33"/>
  </sortState>
  <mergeCells count="41">
    <mergeCell ref="A1:Q1"/>
    <mergeCell ref="E2:F2"/>
    <mergeCell ref="E3:F3"/>
    <mergeCell ref="E6:F6"/>
    <mergeCell ref="O6:P6"/>
    <mergeCell ref="I6:J6"/>
    <mergeCell ref="M6:N6"/>
    <mergeCell ref="Q6:R6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U6:V6"/>
    <mergeCell ref="Q7:R7"/>
    <mergeCell ref="S7:T7"/>
    <mergeCell ref="U7:V7"/>
    <mergeCell ref="Q8:R8"/>
    <mergeCell ref="S8:T8"/>
    <mergeCell ref="U8:V8"/>
    <mergeCell ref="S6:T6"/>
    <mergeCell ref="Q9:R9"/>
    <mergeCell ref="S9:T9"/>
    <mergeCell ref="U9:V9"/>
    <mergeCell ref="A35:C35"/>
    <mergeCell ref="A34:C34"/>
    <mergeCell ref="E9:F9"/>
    <mergeCell ref="O9:P9"/>
    <mergeCell ref="G9:H9"/>
    <mergeCell ref="I9:J9"/>
    <mergeCell ref="M9:N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3"/>
  <sheetViews>
    <sheetView workbookViewId="0">
      <pane xSplit="3" ySplit="10" topLeftCell="O11" activePane="bottomRight" state="frozenSplit"/>
      <selection activeCell="D1" sqref="D1"/>
      <selection pane="topRight" activeCell="D1" sqref="D1"/>
      <selection pane="bottomLeft" activeCell="A10" sqref="A10"/>
      <selection pane="bottomRight" activeCell="X23" sqref="X23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10" max="10" width="19.44140625" customWidth="1"/>
    <col min="12" max="12" width="18.33203125" bestFit="1" customWidth="1"/>
    <col min="13" max="13" width="7.6640625" bestFit="1" customWidth="1"/>
    <col min="14" max="14" width="25.33203125" customWidth="1"/>
    <col min="15" max="15" width="14.33203125" customWidth="1"/>
    <col min="16" max="16" width="19" customWidth="1"/>
    <col min="17" max="17" width="15.44140625" bestFit="1" customWidth="1"/>
    <col min="18" max="18" width="19.6640625" bestFit="1" customWidth="1"/>
    <col min="19" max="19" width="12.33203125" bestFit="1" customWidth="1"/>
    <col min="20" max="20" width="19.6640625" bestFit="1" customWidth="1"/>
  </cols>
  <sheetData>
    <row r="1" spans="1:26" ht="31.2" x14ac:dyDescent="0.6">
      <c r="A1" s="47" t="s">
        <v>82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26" x14ac:dyDescent="0.3">
      <c r="E2" s="54" t="s">
        <v>17</v>
      </c>
      <c r="F2" s="54"/>
      <c r="G2" s="14">
        <f>COUNTA(B11:B27)</f>
        <v>11</v>
      </c>
    </row>
    <row r="3" spans="1:26" x14ac:dyDescent="0.3">
      <c r="B3" s="2"/>
      <c r="E3" s="54" t="s">
        <v>19</v>
      </c>
      <c r="F3" s="54"/>
      <c r="G3" s="14">
        <v>8</v>
      </c>
    </row>
    <row r="4" spans="1:26" x14ac:dyDescent="0.3">
      <c r="B4" s="2"/>
      <c r="C4" s="3"/>
    </row>
    <row r="6" spans="1:26" x14ac:dyDescent="0.3">
      <c r="D6" s="1" t="s">
        <v>0</v>
      </c>
      <c r="E6" s="41" t="s">
        <v>85</v>
      </c>
      <c r="F6" s="41"/>
      <c r="G6" s="41" t="s">
        <v>363</v>
      </c>
      <c r="H6" s="41"/>
      <c r="I6" s="41" t="s">
        <v>86</v>
      </c>
      <c r="J6" s="41"/>
      <c r="K6" s="41" t="s">
        <v>87</v>
      </c>
      <c r="L6" s="41"/>
      <c r="M6" s="41" t="s">
        <v>69</v>
      </c>
      <c r="N6" s="41"/>
      <c r="O6" s="41" t="s">
        <v>88</v>
      </c>
      <c r="P6" s="41"/>
      <c r="Q6" s="41" t="s">
        <v>90</v>
      </c>
      <c r="R6" s="41"/>
      <c r="S6" s="41" t="s">
        <v>856</v>
      </c>
      <c r="T6" s="41"/>
      <c r="U6" s="41" t="s">
        <v>91</v>
      </c>
      <c r="V6" s="41"/>
    </row>
    <row r="7" spans="1:26" x14ac:dyDescent="0.3">
      <c r="D7" s="1" t="s">
        <v>10</v>
      </c>
      <c r="E7" s="42">
        <v>5</v>
      </c>
      <c r="F7" s="43"/>
      <c r="G7" s="42">
        <v>2</v>
      </c>
      <c r="H7" s="43"/>
      <c r="I7" s="42">
        <v>5</v>
      </c>
      <c r="J7" s="43"/>
      <c r="K7" s="42">
        <v>3</v>
      </c>
      <c r="L7" s="43"/>
      <c r="M7" s="42">
        <v>2</v>
      </c>
      <c r="N7" s="43"/>
      <c r="O7" s="42">
        <v>4</v>
      </c>
      <c r="P7" s="43"/>
      <c r="Q7" s="42">
        <v>5</v>
      </c>
      <c r="R7" s="43"/>
      <c r="S7" s="42">
        <v>5</v>
      </c>
      <c r="T7" s="43"/>
      <c r="U7" s="42">
        <v>6</v>
      </c>
      <c r="V7" s="43"/>
    </row>
    <row r="8" spans="1:26" x14ac:dyDescent="0.3">
      <c r="D8" s="1" t="s">
        <v>1</v>
      </c>
      <c r="E8" s="44" t="s">
        <v>84</v>
      </c>
      <c r="F8" s="44"/>
      <c r="G8" s="44">
        <v>45226</v>
      </c>
      <c r="H8" s="44"/>
      <c r="I8" s="44" t="s">
        <v>43</v>
      </c>
      <c r="J8" s="44"/>
      <c r="K8" s="44" t="s">
        <v>35</v>
      </c>
      <c r="L8" s="44"/>
      <c r="M8" s="44" t="s">
        <v>52</v>
      </c>
      <c r="N8" s="44"/>
      <c r="O8" s="44" t="s">
        <v>46</v>
      </c>
      <c r="P8" s="44"/>
      <c r="Q8" s="44" t="s">
        <v>37</v>
      </c>
      <c r="R8" s="44"/>
      <c r="S8" s="44">
        <v>45409</v>
      </c>
      <c r="T8" s="44"/>
      <c r="U8" s="44" t="s">
        <v>92</v>
      </c>
      <c r="V8" s="44"/>
      <c r="Y8" s="14"/>
    </row>
    <row r="9" spans="1:26" x14ac:dyDescent="0.3">
      <c r="D9" s="1" t="s">
        <v>2</v>
      </c>
      <c r="E9" s="41">
        <v>117</v>
      </c>
      <c r="F9" s="41"/>
      <c r="G9" s="41">
        <v>6</v>
      </c>
      <c r="H9" s="41"/>
      <c r="I9" s="41">
        <v>110</v>
      </c>
      <c r="J9" s="41"/>
      <c r="K9" s="41">
        <v>0</v>
      </c>
      <c r="L9" s="41"/>
      <c r="M9" s="41">
        <v>0</v>
      </c>
      <c r="N9" s="41"/>
      <c r="O9" s="41">
        <v>7</v>
      </c>
      <c r="P9" s="41"/>
      <c r="Q9" s="41">
        <v>104</v>
      </c>
      <c r="R9" s="41"/>
      <c r="S9" s="41">
        <v>92</v>
      </c>
      <c r="T9" s="41"/>
      <c r="U9" s="41">
        <v>96</v>
      </c>
      <c r="V9" s="41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20</v>
      </c>
      <c r="Z10" s="1" t="s">
        <v>22</v>
      </c>
    </row>
    <row r="11" spans="1:26" x14ac:dyDescent="0.3">
      <c r="A11" s="5">
        <f>X11</f>
        <v>1</v>
      </c>
      <c r="B11" s="6" t="s">
        <v>124</v>
      </c>
      <c r="C11" s="6" t="s">
        <v>125</v>
      </c>
      <c r="D11" s="6" t="s">
        <v>126</v>
      </c>
      <c r="E11" s="13">
        <v>44</v>
      </c>
      <c r="F11" s="23">
        <f t="shared" ref="F11:F19" si="0">IF(E11=0,,($E$9-E11)*$E$7*100/$E$9)</f>
        <v>311.96581196581195</v>
      </c>
      <c r="G11" s="13">
        <v>3</v>
      </c>
      <c r="H11" s="23">
        <f t="shared" ref="H11:H19" si="1">IF(G11=0,,($G$9-G11)*$G$7*100/$G$9)</f>
        <v>100</v>
      </c>
      <c r="I11" s="6">
        <v>44</v>
      </c>
      <c r="J11" s="7">
        <f t="shared" ref="J11:J19" si="2">IF(I11=0,,($I$9-I11)*$I$7*100/$I$9)</f>
        <v>300</v>
      </c>
      <c r="K11" s="6"/>
      <c r="L11" s="7">
        <f t="shared" ref="L11:L19" si="3">IF(K11=0,,($K$9-K11)*$K$7*100/$K$9)</f>
        <v>0</v>
      </c>
      <c r="M11" s="6"/>
      <c r="N11" s="7">
        <f t="shared" ref="N11:N19" si="4">IF(M11=0,,($K$9-M11)*$K$7*100/$K$9)</f>
        <v>0</v>
      </c>
      <c r="O11" s="6">
        <v>3</v>
      </c>
      <c r="P11" s="7">
        <f t="shared" ref="P11:P20" si="5">IF(O11=0,,($O$9-O11)*$O$7*100/$O$9)</f>
        <v>228.57142857142858</v>
      </c>
      <c r="Q11" s="6">
        <v>32</v>
      </c>
      <c r="R11" s="7">
        <f t="shared" ref="R11:R19" si="6">IF(Q11=0,,($Q$9-Q11)*$Q$7*100/$Q$9)</f>
        <v>346.15384615384613</v>
      </c>
      <c r="S11" s="6">
        <v>61</v>
      </c>
      <c r="T11" s="7">
        <f>IF(S11=0,,($S$9-S11)*$S$7*100/$S$9)</f>
        <v>168.47826086956522</v>
      </c>
      <c r="U11" s="6">
        <v>45</v>
      </c>
      <c r="V11" s="7">
        <f t="shared" ref="V11:V21" si="7">IF(U11=0,,($U$9-U11)*$U$7*100/$U$9)</f>
        <v>318.75</v>
      </c>
      <c r="W11" s="8">
        <f t="shared" ref="W11:W21" si="8">SUM(F11,H11,J11,L11,N11,P11,R11,T11,V11)</f>
        <v>1773.9193475606519</v>
      </c>
      <c r="X11" s="6">
        <f t="shared" ref="X11:X21" si="9">ROW(B11)-10</f>
        <v>1</v>
      </c>
      <c r="Y11" s="6">
        <f>COUNTA(E11,O11,G11,#REF!,I11,K11)</f>
        <v>5</v>
      </c>
      <c r="Z11" s="16">
        <f>Y11/$G$3</f>
        <v>0.625</v>
      </c>
    </row>
    <row r="12" spans="1:26" x14ac:dyDescent="0.3">
      <c r="A12" s="5">
        <f>X12</f>
        <v>2</v>
      </c>
      <c r="B12" s="6" t="s">
        <v>127</v>
      </c>
      <c r="C12" s="6" t="s">
        <v>128</v>
      </c>
      <c r="D12" s="6" t="s">
        <v>126</v>
      </c>
      <c r="E12" s="13">
        <v>62</v>
      </c>
      <c r="F12" s="23">
        <f t="shared" si="0"/>
        <v>235.04273504273505</v>
      </c>
      <c r="G12" s="13">
        <v>2</v>
      </c>
      <c r="H12" s="23">
        <f t="shared" si="1"/>
        <v>133.33333333333334</v>
      </c>
      <c r="I12" s="6">
        <v>38</v>
      </c>
      <c r="J12" s="7">
        <f t="shared" si="2"/>
        <v>327.27272727272725</v>
      </c>
      <c r="K12" s="6"/>
      <c r="L12" s="7">
        <f t="shared" si="3"/>
        <v>0</v>
      </c>
      <c r="M12" s="6"/>
      <c r="N12" s="7">
        <f t="shared" si="4"/>
        <v>0</v>
      </c>
      <c r="O12" s="6">
        <v>3</v>
      </c>
      <c r="P12" s="7">
        <f t="shared" si="5"/>
        <v>228.57142857142858</v>
      </c>
      <c r="Q12" s="6">
        <v>39</v>
      </c>
      <c r="R12" s="7">
        <f t="shared" si="6"/>
        <v>312.5</v>
      </c>
      <c r="S12" s="6">
        <v>45</v>
      </c>
      <c r="T12" s="7">
        <f>IF(S12=0,,($S$9-S12)*$S$7*100/$S$9)</f>
        <v>255.43478260869566</v>
      </c>
      <c r="U12" s="6">
        <v>82</v>
      </c>
      <c r="V12" s="7">
        <f t="shared" si="7"/>
        <v>87.5</v>
      </c>
      <c r="W12" s="8">
        <f t="shared" si="8"/>
        <v>1579.65500682892</v>
      </c>
      <c r="X12" s="6">
        <f t="shared" si="9"/>
        <v>2</v>
      </c>
      <c r="Y12" s="6">
        <f>COUNTA(E12,O12,G12,#REF!,I12,K12)</f>
        <v>5</v>
      </c>
      <c r="Z12" s="16">
        <f>Y12/$G$3</f>
        <v>0.625</v>
      </c>
    </row>
    <row r="13" spans="1:26" x14ac:dyDescent="0.3">
      <c r="A13" s="5">
        <f>X13</f>
        <v>3</v>
      </c>
      <c r="B13" s="6" t="s">
        <v>121</v>
      </c>
      <c r="C13" s="6" t="s">
        <v>122</v>
      </c>
      <c r="D13" s="6" t="s">
        <v>123</v>
      </c>
      <c r="E13" s="13">
        <v>6</v>
      </c>
      <c r="F13" s="23">
        <f t="shared" si="0"/>
        <v>474.35897435897436</v>
      </c>
      <c r="G13" s="13"/>
      <c r="H13" s="23">
        <f t="shared" si="1"/>
        <v>0</v>
      </c>
      <c r="I13" s="6"/>
      <c r="J13" s="7">
        <f t="shared" si="2"/>
        <v>0</v>
      </c>
      <c r="K13" s="6"/>
      <c r="L13" s="7">
        <f t="shared" si="3"/>
        <v>0</v>
      </c>
      <c r="M13" s="6"/>
      <c r="N13" s="7">
        <f t="shared" si="4"/>
        <v>0</v>
      </c>
      <c r="O13" s="6"/>
      <c r="P13" s="7">
        <f t="shared" si="5"/>
        <v>0</v>
      </c>
      <c r="Q13" s="6"/>
      <c r="R13" s="7">
        <f t="shared" si="6"/>
        <v>0</v>
      </c>
      <c r="S13" s="6">
        <v>2</v>
      </c>
      <c r="T13" s="7">
        <f>IF(S13=0,,($S$9-S13)*$S$7*100/$S$9)</f>
        <v>489.13043478260869</v>
      </c>
      <c r="U13" s="40">
        <v>3</v>
      </c>
      <c r="V13" s="7">
        <f t="shared" si="7"/>
        <v>581.25</v>
      </c>
      <c r="W13" s="8">
        <f t="shared" si="8"/>
        <v>1544.7394091415831</v>
      </c>
      <c r="X13" s="6">
        <f t="shared" si="9"/>
        <v>3</v>
      </c>
      <c r="Y13" s="6">
        <f>COUNTA(E13,O13,G13,#REF!,I13,K13)</f>
        <v>2</v>
      </c>
      <c r="Z13" s="16">
        <f>Y13/$G$3</f>
        <v>0.25</v>
      </c>
    </row>
    <row r="14" spans="1:26" x14ac:dyDescent="0.3">
      <c r="A14" s="5">
        <f>X14</f>
        <v>4</v>
      </c>
      <c r="B14" s="6" t="s">
        <v>129</v>
      </c>
      <c r="C14" s="6" t="s">
        <v>130</v>
      </c>
      <c r="D14" s="6" t="s">
        <v>131</v>
      </c>
      <c r="E14" s="13">
        <v>75</v>
      </c>
      <c r="F14" s="23">
        <f t="shared" si="0"/>
        <v>179.48717948717947</v>
      </c>
      <c r="G14" s="13"/>
      <c r="H14" s="23">
        <f t="shared" si="1"/>
        <v>0</v>
      </c>
      <c r="I14" s="6">
        <v>60</v>
      </c>
      <c r="J14" s="7">
        <f t="shared" si="2"/>
        <v>227.27272727272728</v>
      </c>
      <c r="K14" s="6"/>
      <c r="L14" s="7">
        <f t="shared" si="3"/>
        <v>0</v>
      </c>
      <c r="M14" s="6"/>
      <c r="N14" s="7">
        <f t="shared" si="4"/>
        <v>0</v>
      </c>
      <c r="O14" s="6"/>
      <c r="P14" s="7">
        <f t="shared" si="5"/>
        <v>0</v>
      </c>
      <c r="Q14" s="6">
        <v>41</v>
      </c>
      <c r="R14" s="7">
        <f t="shared" si="6"/>
        <v>302.88461538461536</v>
      </c>
      <c r="S14" s="6">
        <v>46</v>
      </c>
      <c r="T14" s="7">
        <f>IF(S14=0,,($S$9-S14)*$S$7*100/$S$9)</f>
        <v>250</v>
      </c>
      <c r="U14" s="6">
        <v>69</v>
      </c>
      <c r="V14" s="7">
        <f t="shared" si="7"/>
        <v>168.75</v>
      </c>
      <c r="W14" s="8">
        <f t="shared" si="8"/>
        <v>1128.3945221445222</v>
      </c>
      <c r="X14" s="6">
        <f t="shared" si="9"/>
        <v>4</v>
      </c>
      <c r="Y14" s="6">
        <f>COUNTA(E14,O14,G14,#REF!,I14,K14)</f>
        <v>3</v>
      </c>
      <c r="Z14" s="16">
        <f>Y14/$G$3</f>
        <v>0.375</v>
      </c>
    </row>
    <row r="15" spans="1:26" x14ac:dyDescent="0.3">
      <c r="A15" s="5">
        <f>X15</f>
        <v>5</v>
      </c>
      <c r="B15" s="6" t="s">
        <v>317</v>
      </c>
      <c r="C15" s="6" t="s">
        <v>751</v>
      </c>
      <c r="D15" s="6" t="s">
        <v>246</v>
      </c>
      <c r="E15" s="13"/>
      <c r="F15" s="23">
        <f t="shared" si="0"/>
        <v>0</v>
      </c>
      <c r="G15" s="13"/>
      <c r="H15" s="23">
        <f t="shared" si="1"/>
        <v>0</v>
      </c>
      <c r="I15" s="6"/>
      <c r="J15" s="7">
        <f t="shared" si="2"/>
        <v>0</v>
      </c>
      <c r="K15" s="6"/>
      <c r="L15" s="7">
        <f t="shared" si="3"/>
        <v>0</v>
      </c>
      <c r="M15" s="6"/>
      <c r="N15" s="7">
        <f t="shared" si="4"/>
        <v>0</v>
      </c>
      <c r="O15" s="6">
        <v>1</v>
      </c>
      <c r="P15" s="7">
        <f t="shared" si="5"/>
        <v>342.85714285714283</v>
      </c>
      <c r="Q15" s="6"/>
      <c r="R15" s="7">
        <f t="shared" si="6"/>
        <v>0</v>
      </c>
      <c r="S15" s="6"/>
      <c r="T15" s="7">
        <f>IF(S15=0,,($S$9-S15)*$S$7*100/$S$9)</f>
        <v>0</v>
      </c>
      <c r="U15" s="6"/>
      <c r="V15" s="7">
        <f t="shared" si="7"/>
        <v>0</v>
      </c>
      <c r="W15" s="8">
        <f t="shared" si="8"/>
        <v>342.85714285714283</v>
      </c>
      <c r="X15" s="6">
        <f t="shared" si="9"/>
        <v>5</v>
      </c>
      <c r="Y15" s="6">
        <f>COUNTA(E15,O15,G15,#REF!,I15,K15)</f>
        <v>2</v>
      </c>
      <c r="Z15" s="16">
        <f>Y15/$G$3</f>
        <v>0.25</v>
      </c>
    </row>
    <row r="16" spans="1:26" x14ac:dyDescent="0.3">
      <c r="A16" s="5">
        <v>6</v>
      </c>
      <c r="B16" s="6" t="s">
        <v>134</v>
      </c>
      <c r="C16" s="6" t="s">
        <v>135</v>
      </c>
      <c r="D16" s="6" t="s">
        <v>126</v>
      </c>
      <c r="E16" s="13">
        <v>110</v>
      </c>
      <c r="F16" s="23">
        <f t="shared" si="0"/>
        <v>29.914529914529915</v>
      </c>
      <c r="G16" s="13">
        <v>6</v>
      </c>
      <c r="H16" s="23">
        <f t="shared" si="1"/>
        <v>0</v>
      </c>
      <c r="I16" s="6">
        <v>110</v>
      </c>
      <c r="J16" s="7">
        <f t="shared" si="2"/>
        <v>0</v>
      </c>
      <c r="K16" s="6"/>
      <c r="L16" s="7">
        <f t="shared" si="3"/>
        <v>0</v>
      </c>
      <c r="M16" s="6"/>
      <c r="N16" s="7">
        <f t="shared" si="4"/>
        <v>0</v>
      </c>
      <c r="O16" s="6">
        <v>2</v>
      </c>
      <c r="P16" s="7">
        <f t="shared" si="5"/>
        <v>285.71428571428572</v>
      </c>
      <c r="Q16" s="6"/>
      <c r="R16" s="7">
        <f t="shared" si="6"/>
        <v>0</v>
      </c>
      <c r="S16" s="6">
        <v>92</v>
      </c>
      <c r="T16" s="7">
        <f>5/2</f>
        <v>2.5</v>
      </c>
      <c r="U16" s="6"/>
      <c r="V16" s="7">
        <f t="shared" si="7"/>
        <v>0</v>
      </c>
      <c r="W16" s="8">
        <f t="shared" si="8"/>
        <v>318.12881562881563</v>
      </c>
      <c r="X16" s="6">
        <f t="shared" si="9"/>
        <v>6</v>
      </c>
      <c r="Y16" s="6">
        <f>COUNTA(E16,O16,G16,#REF!,I16,K16)</f>
        <v>5</v>
      </c>
      <c r="Z16" s="16">
        <f t="shared" ref="Z16:Z21" si="10">Y16/$G$3</f>
        <v>0.625</v>
      </c>
    </row>
    <row r="17" spans="1:26" x14ac:dyDescent="0.3">
      <c r="A17" s="5">
        <v>7</v>
      </c>
      <c r="B17" s="6" t="s">
        <v>256</v>
      </c>
      <c r="C17" s="6" t="s">
        <v>257</v>
      </c>
      <c r="D17" s="6" t="s">
        <v>246</v>
      </c>
      <c r="E17" s="13">
        <v>48</v>
      </c>
      <c r="F17" s="23">
        <f t="shared" si="0"/>
        <v>294.87179487179486</v>
      </c>
      <c r="G17" s="13"/>
      <c r="H17" s="23">
        <f t="shared" si="1"/>
        <v>0</v>
      </c>
      <c r="I17" s="6"/>
      <c r="J17" s="7">
        <f t="shared" si="2"/>
        <v>0</v>
      </c>
      <c r="K17" s="6"/>
      <c r="L17" s="7">
        <f t="shared" si="3"/>
        <v>0</v>
      </c>
      <c r="M17" s="6"/>
      <c r="N17" s="7">
        <f t="shared" si="4"/>
        <v>0</v>
      </c>
      <c r="O17" s="6"/>
      <c r="P17" s="7">
        <f t="shared" si="5"/>
        <v>0</v>
      </c>
      <c r="Q17" s="6"/>
      <c r="R17" s="7">
        <f t="shared" si="6"/>
        <v>0</v>
      </c>
      <c r="S17" s="6"/>
      <c r="T17" s="7">
        <f>IF(S17=0,,($S$9-S17)*$S$7*100/$S$9)</f>
        <v>0</v>
      </c>
      <c r="U17" s="6"/>
      <c r="V17" s="7">
        <f t="shared" si="7"/>
        <v>0</v>
      </c>
      <c r="W17" s="8">
        <f t="shared" si="8"/>
        <v>294.87179487179486</v>
      </c>
      <c r="X17" s="6">
        <f t="shared" si="9"/>
        <v>7</v>
      </c>
      <c r="Y17" s="6">
        <f>COUNTA(E17,O17,G17,#REF!,I17,K17)</f>
        <v>2</v>
      </c>
      <c r="Z17" s="16">
        <f t="shared" si="10"/>
        <v>0.25</v>
      </c>
    </row>
    <row r="18" spans="1:26" x14ac:dyDescent="0.3">
      <c r="A18" s="5">
        <v>8</v>
      </c>
      <c r="B18" s="6" t="s">
        <v>752</v>
      </c>
      <c r="C18" s="6" t="s">
        <v>753</v>
      </c>
      <c r="D18" s="6" t="s">
        <v>729</v>
      </c>
      <c r="E18" s="13"/>
      <c r="F18" s="23">
        <f t="shared" si="0"/>
        <v>0</v>
      </c>
      <c r="G18" s="13"/>
      <c r="H18" s="23">
        <f t="shared" si="1"/>
        <v>0</v>
      </c>
      <c r="I18" s="6"/>
      <c r="J18" s="7">
        <f t="shared" si="2"/>
        <v>0</v>
      </c>
      <c r="K18" s="6"/>
      <c r="L18" s="7">
        <f t="shared" si="3"/>
        <v>0</v>
      </c>
      <c r="M18" s="6"/>
      <c r="N18" s="7">
        <f t="shared" si="4"/>
        <v>0</v>
      </c>
      <c r="O18" s="6">
        <v>5</v>
      </c>
      <c r="P18" s="7">
        <f t="shared" si="5"/>
        <v>114.28571428571429</v>
      </c>
      <c r="Q18" s="6"/>
      <c r="R18" s="7">
        <f t="shared" si="6"/>
        <v>0</v>
      </c>
      <c r="S18" s="6"/>
      <c r="T18" s="7">
        <f>IF(S18=0,,($S$9-S18)*$S$7*100/$S$9)</f>
        <v>0</v>
      </c>
      <c r="U18" s="6"/>
      <c r="V18" s="7">
        <f t="shared" si="7"/>
        <v>0</v>
      </c>
      <c r="W18" s="8">
        <f t="shared" si="8"/>
        <v>114.28571428571429</v>
      </c>
      <c r="X18" s="6">
        <f t="shared" si="9"/>
        <v>8</v>
      </c>
      <c r="Y18" s="6">
        <f>COUNTA(E18,O18,G18,#REF!,I18,K18)</f>
        <v>2</v>
      </c>
      <c r="Z18" s="16">
        <f t="shared" si="10"/>
        <v>0.25</v>
      </c>
    </row>
    <row r="19" spans="1:26" x14ac:dyDescent="0.3">
      <c r="A19" s="5">
        <v>9</v>
      </c>
      <c r="B19" s="6" t="s">
        <v>132</v>
      </c>
      <c r="C19" s="6" t="s">
        <v>133</v>
      </c>
      <c r="D19" s="6" t="s">
        <v>126</v>
      </c>
      <c r="E19" s="13">
        <v>109</v>
      </c>
      <c r="F19" s="23">
        <f t="shared" si="0"/>
        <v>34.188034188034187</v>
      </c>
      <c r="G19" s="13"/>
      <c r="H19" s="23">
        <f t="shared" si="1"/>
        <v>0</v>
      </c>
      <c r="I19" s="6"/>
      <c r="J19" s="7">
        <f t="shared" si="2"/>
        <v>0</v>
      </c>
      <c r="K19" s="6"/>
      <c r="L19" s="7">
        <f t="shared" si="3"/>
        <v>0</v>
      </c>
      <c r="M19" s="6"/>
      <c r="N19" s="7">
        <f t="shared" si="4"/>
        <v>0</v>
      </c>
      <c r="O19" s="6"/>
      <c r="P19" s="7">
        <f t="shared" si="5"/>
        <v>0</v>
      </c>
      <c r="Q19" s="6">
        <v>95</v>
      </c>
      <c r="R19" s="7">
        <f t="shared" si="6"/>
        <v>43.269230769230766</v>
      </c>
      <c r="S19" s="6"/>
      <c r="T19" s="7">
        <f>IF(S19=0,,($S$9-S19)*$S$7*100/$S$9)</f>
        <v>0</v>
      </c>
      <c r="U19" s="6"/>
      <c r="V19" s="7">
        <f t="shared" si="7"/>
        <v>0</v>
      </c>
      <c r="W19" s="8">
        <f t="shared" si="8"/>
        <v>77.457264957264954</v>
      </c>
      <c r="X19" s="6">
        <f t="shared" si="9"/>
        <v>9</v>
      </c>
      <c r="Y19" s="6"/>
      <c r="Z19" s="16"/>
    </row>
    <row r="20" spans="1:26" x14ac:dyDescent="0.3">
      <c r="A20" s="5">
        <v>10</v>
      </c>
      <c r="B20" s="6" t="s">
        <v>754</v>
      </c>
      <c r="C20" s="6" t="s">
        <v>327</v>
      </c>
      <c r="D20" s="6" t="s">
        <v>126</v>
      </c>
      <c r="E20" s="13"/>
      <c r="F20" s="23"/>
      <c r="G20" s="13"/>
      <c r="H20" s="23"/>
      <c r="I20" s="6"/>
      <c r="J20" s="7"/>
      <c r="K20" s="6"/>
      <c r="L20" s="7"/>
      <c r="M20" s="6"/>
      <c r="N20" s="7"/>
      <c r="O20" s="6">
        <v>6</v>
      </c>
      <c r="P20" s="7">
        <f t="shared" si="5"/>
        <v>57.142857142857146</v>
      </c>
      <c r="Q20" s="6"/>
      <c r="R20" s="7"/>
      <c r="S20" s="6"/>
      <c r="T20" s="7">
        <f>IF(S20=0,,($S$9-S20)*$S$7*100/$S$9)</f>
        <v>0</v>
      </c>
      <c r="U20" s="6"/>
      <c r="V20" s="7">
        <f t="shared" si="7"/>
        <v>0</v>
      </c>
      <c r="W20" s="8">
        <f t="shared" si="8"/>
        <v>57.142857142857146</v>
      </c>
      <c r="X20" s="6">
        <f t="shared" si="9"/>
        <v>10</v>
      </c>
      <c r="Y20" s="6"/>
      <c r="Z20" s="16"/>
    </row>
    <row r="21" spans="1:26" x14ac:dyDescent="0.3">
      <c r="A21" s="5">
        <v>11</v>
      </c>
      <c r="B21" s="6" t="s">
        <v>755</v>
      </c>
      <c r="C21" s="6" t="s">
        <v>756</v>
      </c>
      <c r="D21" s="6" t="s">
        <v>729</v>
      </c>
      <c r="E21" s="13"/>
      <c r="F21" s="23"/>
      <c r="G21" s="13"/>
      <c r="H21" s="23"/>
      <c r="I21" s="6"/>
      <c r="J21" s="7"/>
      <c r="K21" s="6"/>
      <c r="L21" s="7"/>
      <c r="M21" s="6"/>
      <c r="N21" s="7"/>
      <c r="O21" s="6">
        <v>7</v>
      </c>
      <c r="P21" s="7">
        <f>57/2</f>
        <v>28.5</v>
      </c>
      <c r="Q21" s="6"/>
      <c r="R21" s="7"/>
      <c r="S21" s="6"/>
      <c r="T21" s="7">
        <f>IF(S21=0,,($S$9-S21)*$S$7*100/$S$9)</f>
        <v>0</v>
      </c>
      <c r="U21" s="6"/>
      <c r="V21" s="7">
        <f t="shared" si="7"/>
        <v>0</v>
      </c>
      <c r="W21" s="8">
        <f t="shared" si="8"/>
        <v>28.5</v>
      </c>
      <c r="X21" s="6">
        <f t="shared" si="9"/>
        <v>11</v>
      </c>
      <c r="Y21" s="6">
        <f>COUNTA(E21,O21,G21,#REF!,I21,K21)</f>
        <v>2</v>
      </c>
      <c r="Z21" s="16">
        <f t="shared" si="10"/>
        <v>0.25</v>
      </c>
    </row>
    <row r="22" spans="1:26" x14ac:dyDescent="0.3">
      <c r="A22" s="45" t="s">
        <v>11</v>
      </c>
      <c r="B22" s="45"/>
      <c r="C22" s="46"/>
      <c r="E22">
        <f>COUNTA(E11:E21)</f>
        <v>7</v>
      </c>
      <c r="G22">
        <f>COUNTA(G11:G21)</f>
        <v>3</v>
      </c>
      <c r="I22">
        <f>COUNTA(I11:I21)</f>
        <v>4</v>
      </c>
      <c r="K22">
        <f>COUNTA(K11:K21)</f>
        <v>0</v>
      </c>
      <c r="M22">
        <f>COUNTA(O11:O21)</f>
        <v>7</v>
      </c>
    </row>
    <row r="23" spans="1:26" x14ac:dyDescent="0.3">
      <c r="A23" s="55" t="s">
        <v>21</v>
      </c>
      <c r="B23" s="55"/>
      <c r="C23" s="55"/>
      <c r="E23" s="15">
        <f>E22/$G$2</f>
        <v>0.63636363636363635</v>
      </c>
      <c r="G23" s="15">
        <f>G22/$G$2</f>
        <v>0.27272727272727271</v>
      </c>
      <c r="I23" s="15">
        <f>I22/$G$2</f>
        <v>0.36363636363636365</v>
      </c>
      <c r="K23" s="15">
        <f>K22/$G$2</f>
        <v>0</v>
      </c>
      <c r="M23" s="15">
        <f>M22/$G$2</f>
        <v>0.63636363636363635</v>
      </c>
    </row>
  </sheetData>
  <sortState xmlns:xlrd2="http://schemas.microsoft.com/office/spreadsheetml/2017/richdata2" ref="B11:W21">
    <sortCondition descending="1" ref="W11:W21"/>
  </sortState>
  <mergeCells count="41">
    <mergeCell ref="A22:C22"/>
    <mergeCell ref="E9:F9"/>
    <mergeCell ref="O9:P9"/>
    <mergeCell ref="A23:C23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U6:V6"/>
    <mergeCell ref="U7:V7"/>
    <mergeCell ref="U8:V8"/>
    <mergeCell ref="U9:V9"/>
    <mergeCell ref="Q9:R9"/>
    <mergeCell ref="Q6:R6"/>
    <mergeCell ref="Q7:R7"/>
    <mergeCell ref="Q8:R8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2"/>
  <sheetViews>
    <sheetView zoomScale="89" zoomScaleNormal="89" workbookViewId="0">
      <pane xSplit="3" ySplit="10" topLeftCell="N11" activePane="bottomRight" state="frozenSplit"/>
      <selection activeCell="F16" sqref="F16"/>
      <selection pane="topRight" activeCell="F16" sqref="F16"/>
      <selection pane="bottomLeft" activeCell="F16" sqref="F16"/>
      <selection pane="bottomRight" activeCell="X2" sqref="X2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21.664062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4" max="24" width="18.33203125" bestFit="1" customWidth="1"/>
    <col min="25" max="25" width="15.44140625" bestFit="1" customWidth="1"/>
    <col min="26" max="26" width="19.77734375" bestFit="1" customWidth="1"/>
  </cols>
  <sheetData>
    <row r="1" spans="1:26" ht="31.2" x14ac:dyDescent="0.6">
      <c r="A1" s="47" t="s">
        <v>93</v>
      </c>
      <c r="B1" s="47"/>
      <c r="C1" s="47"/>
      <c r="D1" s="47"/>
      <c r="E1" s="47"/>
      <c r="F1" s="47"/>
      <c r="G1" s="47"/>
      <c r="H1" s="47"/>
    </row>
    <row r="2" spans="1:26" x14ac:dyDescent="0.3">
      <c r="E2" s="54" t="s">
        <v>17</v>
      </c>
      <c r="F2" s="54"/>
      <c r="G2" s="14">
        <f>COUNTA(B11:B35)</f>
        <v>25</v>
      </c>
    </row>
    <row r="3" spans="1:26" x14ac:dyDescent="0.3">
      <c r="E3" s="54" t="s">
        <v>19</v>
      </c>
      <c r="F3" s="54"/>
      <c r="G3" s="14">
        <f>COUNTA(E8:T8)</f>
        <v>8</v>
      </c>
    </row>
    <row r="4" spans="1:26" x14ac:dyDescent="0.3">
      <c r="A4" s="10"/>
      <c r="B4" s="11" t="s">
        <v>14</v>
      </c>
      <c r="C4" s="3"/>
    </row>
    <row r="6" spans="1:26" x14ac:dyDescent="0.3">
      <c r="D6" s="1" t="s">
        <v>0</v>
      </c>
      <c r="E6" s="41" t="s">
        <v>274</v>
      </c>
      <c r="F6" s="41"/>
      <c r="G6" s="41" t="s">
        <v>300</v>
      </c>
      <c r="H6" s="41"/>
      <c r="I6" s="41" t="s">
        <v>440</v>
      </c>
      <c r="J6" s="41"/>
      <c r="K6" s="41" t="s">
        <v>473</v>
      </c>
      <c r="L6" s="41"/>
      <c r="M6" s="41" t="s">
        <v>626</v>
      </c>
      <c r="N6" s="41"/>
      <c r="O6" s="41" t="s">
        <v>668</v>
      </c>
      <c r="P6" s="41"/>
      <c r="Q6" s="41" t="s">
        <v>99</v>
      </c>
      <c r="R6" s="41"/>
      <c r="S6" s="41" t="s">
        <v>797</v>
      </c>
      <c r="T6" s="41"/>
      <c r="U6" s="41" t="s">
        <v>101</v>
      </c>
      <c r="V6" s="41"/>
    </row>
    <row r="7" spans="1:26" x14ac:dyDescent="0.3">
      <c r="D7" s="1" t="s">
        <v>10</v>
      </c>
      <c r="E7" s="42">
        <v>2</v>
      </c>
      <c r="F7" s="43"/>
      <c r="G7" s="42">
        <v>5</v>
      </c>
      <c r="H7" s="43"/>
      <c r="I7" s="42">
        <v>2</v>
      </c>
      <c r="J7" s="43"/>
      <c r="K7" s="42">
        <v>2</v>
      </c>
      <c r="L7" s="43"/>
      <c r="M7" s="42">
        <v>2</v>
      </c>
      <c r="N7" s="43"/>
      <c r="O7" s="42">
        <v>5</v>
      </c>
      <c r="P7" s="43"/>
      <c r="Q7" s="42">
        <v>5</v>
      </c>
      <c r="R7" s="43"/>
      <c r="S7" s="42">
        <v>3</v>
      </c>
      <c r="T7" s="43"/>
      <c r="U7" s="42">
        <v>6</v>
      </c>
      <c r="V7" s="43"/>
    </row>
    <row r="8" spans="1:26" x14ac:dyDescent="0.3">
      <c r="D8" s="1" t="s">
        <v>1</v>
      </c>
      <c r="E8" s="44">
        <v>45213</v>
      </c>
      <c r="F8" s="44"/>
      <c r="G8" s="44" t="s">
        <v>96</v>
      </c>
      <c r="H8" s="44"/>
      <c r="I8" s="44">
        <v>45226</v>
      </c>
      <c r="J8" s="44"/>
      <c r="K8" s="44">
        <v>45249</v>
      </c>
      <c r="L8" s="44"/>
      <c r="M8" s="44">
        <v>45277</v>
      </c>
      <c r="N8" s="44"/>
      <c r="O8" s="44">
        <v>45319</v>
      </c>
      <c r="P8" s="44"/>
      <c r="Q8" s="44" t="s">
        <v>100</v>
      </c>
      <c r="R8" s="44"/>
      <c r="S8" s="44">
        <v>45389</v>
      </c>
      <c r="T8" s="44"/>
      <c r="U8" s="44" t="s">
        <v>32</v>
      </c>
      <c r="V8" s="44"/>
      <c r="Y8" s="14"/>
    </row>
    <row r="9" spans="1:26" x14ac:dyDescent="0.3">
      <c r="D9" s="1" t="s">
        <v>2</v>
      </c>
      <c r="E9" s="41">
        <v>26</v>
      </c>
      <c r="F9" s="41"/>
      <c r="G9" s="41">
        <v>259</v>
      </c>
      <c r="H9" s="41"/>
      <c r="I9" s="41">
        <v>34</v>
      </c>
      <c r="J9" s="41"/>
      <c r="K9" s="41">
        <v>38</v>
      </c>
      <c r="L9" s="41"/>
      <c r="M9" s="41">
        <v>43</v>
      </c>
      <c r="N9" s="41"/>
      <c r="O9" s="41">
        <v>239</v>
      </c>
      <c r="P9" s="41"/>
      <c r="Q9" s="41">
        <v>206</v>
      </c>
      <c r="R9" s="41"/>
      <c r="S9" s="41">
        <v>23</v>
      </c>
      <c r="T9" s="41"/>
      <c r="U9" s="41">
        <v>148</v>
      </c>
      <c r="V9" s="41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20</v>
      </c>
      <c r="Z10" s="1" t="s">
        <v>22</v>
      </c>
    </row>
    <row r="11" spans="1:26" x14ac:dyDescent="0.3">
      <c r="A11" s="20">
        <f t="shared" ref="A11:A35" si="0">X11</f>
        <v>1</v>
      </c>
      <c r="B11" s="21" t="s">
        <v>306</v>
      </c>
      <c r="C11" s="21" t="s">
        <v>307</v>
      </c>
      <c r="D11" s="21" t="s">
        <v>305</v>
      </c>
      <c r="E11" s="21"/>
      <c r="F11" s="22">
        <f t="shared" ref="F11:F34" si="1">IF(E11=0,,($E$9-E11)*$E$7*100/$E$9)</f>
        <v>0</v>
      </c>
      <c r="G11" s="6">
        <v>60</v>
      </c>
      <c r="H11" s="7">
        <f t="shared" ref="H11:H34" si="2">IF(G11=0,,($G$9-G11)*$G$7*100/$G$9)</f>
        <v>384.16988416988414</v>
      </c>
      <c r="I11" s="6">
        <v>6</v>
      </c>
      <c r="J11" s="7">
        <f t="shared" ref="J11:J34" si="3">IF(I11=0,,($I$9-I11)*$I$7*100/$I$9)</f>
        <v>164.70588235294119</v>
      </c>
      <c r="K11" s="21">
        <v>17</v>
      </c>
      <c r="L11" s="22">
        <f t="shared" ref="L11:L34" si="4">IF(K11=0,,($K$9-K11)*$K$7*100/$K$9)</f>
        <v>110.52631578947368</v>
      </c>
      <c r="M11" s="21">
        <v>3</v>
      </c>
      <c r="N11" s="22">
        <f t="shared" ref="N11:N34" si="5">IF(M11=0,,($M$9-M11)*$M$7*100/$M$9)</f>
        <v>186.04651162790697</v>
      </c>
      <c r="O11" s="21">
        <v>106</v>
      </c>
      <c r="P11" s="22">
        <f t="shared" ref="P11:P34" si="6">IF(O11=0,,($O$9-O11)*$O$7*100/$O$9)</f>
        <v>278.24267782426779</v>
      </c>
      <c r="Q11" s="6">
        <v>7</v>
      </c>
      <c r="R11" s="7">
        <f t="shared" ref="R11:R34" si="7">IF(Q11=0,,($Q$9-Q11)*$Q$7*100/$Q$9)</f>
        <v>483.00970873786406</v>
      </c>
      <c r="S11" s="6">
        <v>3</v>
      </c>
      <c r="T11" s="7">
        <f t="shared" ref="T11:T47" si="8">IF(S11=0,,($S$9-S11)*$S$7*100/$S$9)</f>
        <v>260.86956521739131</v>
      </c>
      <c r="U11" s="6">
        <v>56</v>
      </c>
      <c r="V11" s="7">
        <f t="shared" ref="V11:V34" si="9">IF(U11=0,,($U$9-U11)*$U$7*100/$U$9)</f>
        <v>372.97297297297297</v>
      </c>
      <c r="W11" s="8">
        <f t="shared" ref="W11:W50" si="10">F11+H11+J11+L11+N11+P11+R11+V11+T11</f>
        <v>2240.543518692702</v>
      </c>
      <c r="X11" s="6">
        <f t="shared" ref="X11:X50" si="11">ROW(B11)-10</f>
        <v>1</v>
      </c>
      <c r="Y11" s="6">
        <f>COUNTA(E11,G11,I11,K11,M11,O11,U11,S11,Q11,#REF!)</f>
        <v>9</v>
      </c>
      <c r="Z11" s="16">
        <f t="shared" ref="Z11:Z35" si="12">Y11/$G$3</f>
        <v>1.125</v>
      </c>
    </row>
    <row r="12" spans="1:26" x14ac:dyDescent="0.3">
      <c r="A12" s="20">
        <f t="shared" si="0"/>
        <v>2</v>
      </c>
      <c r="B12" s="21" t="s">
        <v>302</v>
      </c>
      <c r="C12" s="21" t="s">
        <v>303</v>
      </c>
      <c r="D12" s="21" t="s">
        <v>304</v>
      </c>
      <c r="E12" s="21"/>
      <c r="F12" s="22">
        <f t="shared" si="1"/>
        <v>0</v>
      </c>
      <c r="G12" s="6">
        <v>5</v>
      </c>
      <c r="H12" s="7">
        <f t="shared" si="2"/>
        <v>490.34749034749035</v>
      </c>
      <c r="I12" s="6"/>
      <c r="J12" s="7">
        <f t="shared" si="3"/>
        <v>0</v>
      </c>
      <c r="K12" s="21">
        <v>3</v>
      </c>
      <c r="L12" s="22">
        <f t="shared" si="4"/>
        <v>184.21052631578948</v>
      </c>
      <c r="M12" s="21">
        <v>14</v>
      </c>
      <c r="N12" s="22">
        <f t="shared" si="5"/>
        <v>134.88372093023256</v>
      </c>
      <c r="O12" s="21">
        <v>76</v>
      </c>
      <c r="P12" s="22">
        <f t="shared" si="6"/>
        <v>341.0041841004184</v>
      </c>
      <c r="Q12" s="6">
        <v>96</v>
      </c>
      <c r="R12" s="7">
        <f t="shared" si="7"/>
        <v>266.99029126213594</v>
      </c>
      <c r="S12" s="6">
        <v>1</v>
      </c>
      <c r="T12" s="7">
        <f t="shared" si="8"/>
        <v>286.95652173913044</v>
      </c>
      <c r="U12" s="6">
        <v>27</v>
      </c>
      <c r="V12" s="7">
        <f t="shared" si="9"/>
        <v>490.54054054054052</v>
      </c>
      <c r="W12" s="8">
        <f t="shared" si="10"/>
        <v>2194.9332752357377</v>
      </c>
      <c r="X12" s="6">
        <f t="shared" si="11"/>
        <v>2</v>
      </c>
      <c r="Y12" s="6">
        <f>COUNTA(E12,G12,I12,K12,M12,O12,U12,S12,Q12,#REF!)</f>
        <v>8</v>
      </c>
      <c r="Z12" s="16">
        <f t="shared" si="12"/>
        <v>1</v>
      </c>
    </row>
    <row r="13" spans="1:26" x14ac:dyDescent="0.3">
      <c r="A13" s="20">
        <f t="shared" si="0"/>
        <v>3</v>
      </c>
      <c r="B13" s="21" t="s">
        <v>204</v>
      </c>
      <c r="C13" s="21" t="s">
        <v>205</v>
      </c>
      <c r="D13" s="21" t="s">
        <v>305</v>
      </c>
      <c r="E13" s="21"/>
      <c r="F13" s="22">
        <f t="shared" si="1"/>
        <v>0</v>
      </c>
      <c r="G13" s="6">
        <v>10</v>
      </c>
      <c r="H13" s="7">
        <f t="shared" si="2"/>
        <v>480.6949806949807</v>
      </c>
      <c r="I13" s="6">
        <v>12</v>
      </c>
      <c r="J13" s="7">
        <f t="shared" si="3"/>
        <v>129.41176470588235</v>
      </c>
      <c r="K13" s="21">
        <v>7</v>
      </c>
      <c r="L13" s="22">
        <f t="shared" si="4"/>
        <v>163.15789473684211</v>
      </c>
      <c r="M13" s="21">
        <v>6</v>
      </c>
      <c r="N13" s="22">
        <f t="shared" si="5"/>
        <v>172.09302325581396</v>
      </c>
      <c r="O13" s="21">
        <v>108</v>
      </c>
      <c r="P13" s="22">
        <f t="shared" si="6"/>
        <v>274.05857740585776</v>
      </c>
      <c r="Q13" s="6">
        <v>74</v>
      </c>
      <c r="R13" s="7">
        <f t="shared" si="7"/>
        <v>320.38834951456312</v>
      </c>
      <c r="S13" s="6">
        <v>7</v>
      </c>
      <c r="T13" s="7">
        <f t="shared" si="8"/>
        <v>208.69565217391303</v>
      </c>
      <c r="U13" s="6">
        <v>61</v>
      </c>
      <c r="V13" s="7">
        <f t="shared" si="9"/>
        <v>352.70270270270271</v>
      </c>
      <c r="W13" s="8">
        <f t="shared" si="10"/>
        <v>2101.2029451905555</v>
      </c>
      <c r="X13" s="6">
        <f t="shared" si="11"/>
        <v>3</v>
      </c>
      <c r="Y13" s="6">
        <f>COUNTA(E13,G13,I13,K13,M13,O13,U13,S13,Q13,#REF!)</f>
        <v>9</v>
      </c>
      <c r="Z13" s="16">
        <f t="shared" si="12"/>
        <v>1.125</v>
      </c>
    </row>
    <row r="14" spans="1:26" x14ac:dyDescent="0.3">
      <c r="A14" s="20">
        <f t="shared" si="0"/>
        <v>4</v>
      </c>
      <c r="B14" s="21" t="s">
        <v>198</v>
      </c>
      <c r="C14" s="21" t="s">
        <v>199</v>
      </c>
      <c r="D14" s="21" t="s">
        <v>305</v>
      </c>
      <c r="E14" s="21"/>
      <c r="F14" s="22">
        <f t="shared" si="1"/>
        <v>0</v>
      </c>
      <c r="G14" s="6">
        <v>76</v>
      </c>
      <c r="H14" s="7">
        <f t="shared" si="2"/>
        <v>353.28185328185327</v>
      </c>
      <c r="I14" s="6">
        <v>8</v>
      </c>
      <c r="J14" s="7">
        <f t="shared" si="3"/>
        <v>152.94117647058823</v>
      </c>
      <c r="K14" s="21">
        <v>15</v>
      </c>
      <c r="L14" s="22">
        <f t="shared" si="4"/>
        <v>121.05263157894737</v>
      </c>
      <c r="M14" s="21">
        <v>3</v>
      </c>
      <c r="N14" s="22">
        <f t="shared" si="5"/>
        <v>186.04651162790697</v>
      </c>
      <c r="O14" s="21">
        <v>68</v>
      </c>
      <c r="P14" s="22">
        <f t="shared" si="6"/>
        <v>357.74058577405856</v>
      </c>
      <c r="Q14" s="6">
        <v>88</v>
      </c>
      <c r="R14" s="7">
        <f t="shared" si="7"/>
        <v>286.40776699029124</v>
      </c>
      <c r="S14" s="6">
        <v>10</v>
      </c>
      <c r="T14" s="7">
        <f t="shared" si="8"/>
        <v>169.56521739130434</v>
      </c>
      <c r="U14" s="6">
        <v>100</v>
      </c>
      <c r="V14" s="7">
        <f t="shared" si="9"/>
        <v>194.59459459459458</v>
      </c>
      <c r="W14" s="8">
        <f t="shared" si="10"/>
        <v>1821.6303377095444</v>
      </c>
      <c r="X14" s="6">
        <f t="shared" si="11"/>
        <v>4</v>
      </c>
      <c r="Y14" s="6">
        <f>COUNTA(E14,G14,I14,K14,M14,O14,U14,S14,Q14,#REF!)</f>
        <v>9</v>
      </c>
      <c r="Z14" s="16">
        <f t="shared" si="12"/>
        <v>1.125</v>
      </c>
    </row>
    <row r="15" spans="1:26" x14ac:dyDescent="0.3">
      <c r="A15" s="20">
        <f t="shared" si="0"/>
        <v>5</v>
      </c>
      <c r="B15" s="21" t="s">
        <v>141</v>
      </c>
      <c r="C15" s="21" t="s">
        <v>142</v>
      </c>
      <c r="D15" s="21" t="s">
        <v>305</v>
      </c>
      <c r="E15" s="21"/>
      <c r="F15" s="22">
        <f t="shared" si="1"/>
        <v>0</v>
      </c>
      <c r="G15" s="6">
        <v>130</v>
      </c>
      <c r="H15" s="7">
        <f t="shared" si="2"/>
        <v>249.03474903474904</v>
      </c>
      <c r="I15" s="6">
        <v>21</v>
      </c>
      <c r="J15" s="7">
        <f t="shared" si="3"/>
        <v>76.470588235294116</v>
      </c>
      <c r="K15" s="21">
        <v>4</v>
      </c>
      <c r="L15" s="22">
        <f t="shared" si="4"/>
        <v>178.94736842105263</v>
      </c>
      <c r="M15" s="21">
        <v>9</v>
      </c>
      <c r="N15" s="22">
        <f t="shared" si="5"/>
        <v>158.13953488372093</v>
      </c>
      <c r="O15" s="21">
        <v>69</v>
      </c>
      <c r="P15" s="22">
        <f t="shared" si="6"/>
        <v>355.64853556485355</v>
      </c>
      <c r="Q15" s="6">
        <v>46</v>
      </c>
      <c r="R15" s="7">
        <f t="shared" si="7"/>
        <v>388.34951456310682</v>
      </c>
      <c r="S15" s="6">
        <v>19</v>
      </c>
      <c r="T15" s="7">
        <f t="shared" si="8"/>
        <v>52.173913043478258</v>
      </c>
      <c r="U15" s="6">
        <v>65</v>
      </c>
      <c r="V15" s="7">
        <f t="shared" si="9"/>
        <v>336.48648648648651</v>
      </c>
      <c r="W15" s="8">
        <f t="shared" si="10"/>
        <v>1795.2506902327418</v>
      </c>
      <c r="X15" s="6">
        <f t="shared" si="11"/>
        <v>5</v>
      </c>
      <c r="Y15" s="6">
        <f>COUNTA(E15,G15,I15,K15,M15,O15,U15,S15,Q15,#REF!)</f>
        <v>9</v>
      </c>
      <c r="Z15" s="16">
        <f t="shared" si="12"/>
        <v>1.125</v>
      </c>
    </row>
    <row r="16" spans="1:26" x14ac:dyDescent="0.3">
      <c r="A16" s="20">
        <f t="shared" si="0"/>
        <v>6</v>
      </c>
      <c r="B16" s="21" t="s">
        <v>196</v>
      </c>
      <c r="C16" s="21" t="s">
        <v>197</v>
      </c>
      <c r="D16" s="21" t="s">
        <v>305</v>
      </c>
      <c r="E16" s="21"/>
      <c r="F16" s="22">
        <f t="shared" si="1"/>
        <v>0</v>
      </c>
      <c r="G16" s="6">
        <v>154</v>
      </c>
      <c r="H16" s="7">
        <f t="shared" si="2"/>
        <v>202.70270270270271</v>
      </c>
      <c r="I16" s="6"/>
      <c r="J16" s="7">
        <f t="shared" si="3"/>
        <v>0</v>
      </c>
      <c r="K16" s="21">
        <v>2</v>
      </c>
      <c r="L16" s="22">
        <f t="shared" si="4"/>
        <v>189.47368421052633</v>
      </c>
      <c r="M16" s="21">
        <v>23</v>
      </c>
      <c r="N16" s="22">
        <f t="shared" si="5"/>
        <v>93.023255813953483</v>
      </c>
      <c r="O16" s="21">
        <v>176</v>
      </c>
      <c r="P16" s="22">
        <f t="shared" si="6"/>
        <v>131.79916317991632</v>
      </c>
      <c r="Q16" s="6">
        <v>50</v>
      </c>
      <c r="R16" s="7">
        <f t="shared" si="7"/>
        <v>378.64077669902912</v>
      </c>
      <c r="S16" s="6">
        <v>6</v>
      </c>
      <c r="T16" s="7">
        <f t="shared" si="8"/>
        <v>221.7391304347826</v>
      </c>
      <c r="U16" s="6">
        <v>70</v>
      </c>
      <c r="V16" s="7">
        <f t="shared" si="9"/>
        <v>316.2162162162162</v>
      </c>
      <c r="W16" s="8">
        <f t="shared" si="10"/>
        <v>1533.5949292571268</v>
      </c>
      <c r="X16" s="6">
        <f t="shared" si="11"/>
        <v>6</v>
      </c>
      <c r="Y16" s="6">
        <f>COUNTA(E16,G16,I16,K16,M16,O16,U16,S16,Q16,#REF!)</f>
        <v>8</v>
      </c>
      <c r="Z16" s="16">
        <f t="shared" si="12"/>
        <v>1</v>
      </c>
    </row>
    <row r="17" spans="1:26" x14ac:dyDescent="0.3">
      <c r="A17" s="20">
        <f t="shared" si="0"/>
        <v>7</v>
      </c>
      <c r="B17" s="21" t="s">
        <v>151</v>
      </c>
      <c r="C17" s="21" t="s">
        <v>152</v>
      </c>
      <c r="D17" s="21" t="s">
        <v>305</v>
      </c>
      <c r="E17" s="21"/>
      <c r="F17" s="22">
        <f t="shared" si="1"/>
        <v>0</v>
      </c>
      <c r="G17" s="6">
        <v>144</v>
      </c>
      <c r="H17" s="7">
        <f t="shared" si="2"/>
        <v>222.00772200772201</v>
      </c>
      <c r="I17" s="6">
        <v>13</v>
      </c>
      <c r="J17" s="7">
        <f t="shared" si="3"/>
        <v>123.52941176470588</v>
      </c>
      <c r="K17" s="21">
        <v>12</v>
      </c>
      <c r="L17" s="22">
        <f t="shared" si="4"/>
        <v>136.84210526315789</v>
      </c>
      <c r="M17" s="21">
        <v>1</v>
      </c>
      <c r="N17" s="22">
        <f t="shared" si="5"/>
        <v>195.34883720930233</v>
      </c>
      <c r="O17" s="21">
        <v>63</v>
      </c>
      <c r="P17" s="22">
        <f t="shared" si="6"/>
        <v>368.20083682008368</v>
      </c>
      <c r="Q17" s="6"/>
      <c r="R17" s="7">
        <f t="shared" si="7"/>
        <v>0</v>
      </c>
      <c r="S17" s="6">
        <v>9</v>
      </c>
      <c r="T17" s="7">
        <f t="shared" si="8"/>
        <v>182.60869565217391</v>
      </c>
      <c r="U17" s="6">
        <v>74</v>
      </c>
      <c r="V17" s="7">
        <f t="shared" si="9"/>
        <v>300</v>
      </c>
      <c r="W17" s="8">
        <f t="shared" si="10"/>
        <v>1528.5376087171458</v>
      </c>
      <c r="X17" s="6">
        <f t="shared" si="11"/>
        <v>7</v>
      </c>
      <c r="Y17" s="6">
        <f>COUNTA(E17,G17,I17,K17,M17,O17,U17,S17,Q17,#REF!)</f>
        <v>8</v>
      </c>
      <c r="Z17" s="16">
        <f t="shared" si="12"/>
        <v>1</v>
      </c>
    </row>
    <row r="18" spans="1:26" x14ac:dyDescent="0.3">
      <c r="A18" s="20">
        <f t="shared" si="0"/>
        <v>8</v>
      </c>
      <c r="B18" s="21" t="s">
        <v>145</v>
      </c>
      <c r="C18" s="21" t="s">
        <v>146</v>
      </c>
      <c r="D18" s="21" t="s">
        <v>305</v>
      </c>
      <c r="E18" s="21"/>
      <c r="F18" s="22">
        <f t="shared" si="1"/>
        <v>0</v>
      </c>
      <c r="G18" s="6">
        <v>231</v>
      </c>
      <c r="H18" s="7">
        <f t="shared" si="2"/>
        <v>54.054054054054056</v>
      </c>
      <c r="I18" s="6"/>
      <c r="J18" s="7">
        <f t="shared" si="3"/>
        <v>0</v>
      </c>
      <c r="K18" s="21">
        <v>8</v>
      </c>
      <c r="L18" s="22">
        <f t="shared" si="4"/>
        <v>157.89473684210526</v>
      </c>
      <c r="M18" s="21">
        <v>7</v>
      </c>
      <c r="N18" s="22">
        <f t="shared" si="5"/>
        <v>167.44186046511629</v>
      </c>
      <c r="O18" s="21">
        <v>102</v>
      </c>
      <c r="P18" s="22">
        <f t="shared" si="6"/>
        <v>286.61087866108784</v>
      </c>
      <c r="Q18" s="6">
        <v>101</v>
      </c>
      <c r="R18" s="7">
        <f t="shared" si="7"/>
        <v>254.85436893203882</v>
      </c>
      <c r="S18" s="6">
        <v>5</v>
      </c>
      <c r="T18" s="7">
        <f t="shared" si="8"/>
        <v>234.78260869565219</v>
      </c>
      <c r="U18" s="6">
        <v>81</v>
      </c>
      <c r="V18" s="7">
        <f t="shared" si="9"/>
        <v>271.62162162162161</v>
      </c>
      <c r="W18" s="8">
        <f t="shared" si="10"/>
        <v>1427.2601292716761</v>
      </c>
      <c r="X18" s="6">
        <f t="shared" si="11"/>
        <v>8</v>
      </c>
      <c r="Y18" s="6">
        <f>COUNTA(E18,G18,I18,K18,M18,O18,U18,S18,Q18,#REF!)</f>
        <v>8</v>
      </c>
      <c r="Z18" s="16">
        <f t="shared" si="12"/>
        <v>1</v>
      </c>
    </row>
    <row r="19" spans="1:26" x14ac:dyDescent="0.3">
      <c r="A19" s="20">
        <f t="shared" si="0"/>
        <v>9</v>
      </c>
      <c r="B19" s="21" t="s">
        <v>194</v>
      </c>
      <c r="C19" s="21" t="s">
        <v>310</v>
      </c>
      <c r="D19" s="21" t="s">
        <v>246</v>
      </c>
      <c r="E19" s="21"/>
      <c r="F19" s="22">
        <f t="shared" si="1"/>
        <v>0</v>
      </c>
      <c r="G19" s="6">
        <v>97</v>
      </c>
      <c r="H19" s="7">
        <f t="shared" si="2"/>
        <v>312.74131274131275</v>
      </c>
      <c r="I19" s="6"/>
      <c r="J19" s="7">
        <f t="shared" si="3"/>
        <v>0</v>
      </c>
      <c r="K19" s="21"/>
      <c r="L19" s="22">
        <f t="shared" si="4"/>
        <v>0</v>
      </c>
      <c r="M19" s="21">
        <v>26</v>
      </c>
      <c r="N19" s="22">
        <f t="shared" si="5"/>
        <v>79.069767441860463</v>
      </c>
      <c r="O19" s="21">
        <v>125</v>
      </c>
      <c r="P19" s="22">
        <f t="shared" si="6"/>
        <v>238.49372384937237</v>
      </c>
      <c r="Q19" s="6">
        <v>82</v>
      </c>
      <c r="R19" s="7">
        <f t="shared" si="7"/>
        <v>300.97087378640776</v>
      </c>
      <c r="S19" s="6">
        <v>12</v>
      </c>
      <c r="T19" s="7">
        <f t="shared" si="8"/>
        <v>143.47826086956522</v>
      </c>
      <c r="U19" s="6">
        <v>114</v>
      </c>
      <c r="V19" s="7">
        <f t="shared" si="9"/>
        <v>137.83783783783784</v>
      </c>
      <c r="W19" s="8">
        <f t="shared" si="10"/>
        <v>1212.5917765263564</v>
      </c>
      <c r="X19" s="6">
        <f t="shared" si="11"/>
        <v>9</v>
      </c>
      <c r="Y19" s="6">
        <f>COUNTA(E19,G19,I19,K19,M19,O19,U19,S19,Q19,#REF!)</f>
        <v>7</v>
      </c>
      <c r="Z19" s="16">
        <f t="shared" si="12"/>
        <v>0.875</v>
      </c>
    </row>
    <row r="20" spans="1:26" x14ac:dyDescent="0.3">
      <c r="A20" s="20">
        <f t="shared" si="0"/>
        <v>10</v>
      </c>
      <c r="B20" s="21" t="s">
        <v>155</v>
      </c>
      <c r="C20" s="21" t="s">
        <v>156</v>
      </c>
      <c r="D20" s="21" t="s">
        <v>305</v>
      </c>
      <c r="E20" s="21"/>
      <c r="F20" s="22">
        <f t="shared" si="1"/>
        <v>0</v>
      </c>
      <c r="G20" s="6">
        <v>132</v>
      </c>
      <c r="H20" s="7">
        <f t="shared" si="2"/>
        <v>245.17374517374517</v>
      </c>
      <c r="I20" s="6">
        <v>10</v>
      </c>
      <c r="J20" s="7">
        <f t="shared" si="3"/>
        <v>141.1764705882353</v>
      </c>
      <c r="K20" s="21">
        <v>13</v>
      </c>
      <c r="L20" s="22">
        <f t="shared" si="4"/>
        <v>131.57894736842104</v>
      </c>
      <c r="M20" s="21">
        <v>5</v>
      </c>
      <c r="N20" s="22">
        <f t="shared" si="5"/>
        <v>176.74418604651163</v>
      </c>
      <c r="O20" s="21">
        <v>99</v>
      </c>
      <c r="P20" s="22">
        <f t="shared" si="6"/>
        <v>292.88702928870293</v>
      </c>
      <c r="Q20" s="6">
        <v>121</v>
      </c>
      <c r="R20" s="7">
        <f t="shared" si="7"/>
        <v>206.3106796116505</v>
      </c>
      <c r="S20" s="6"/>
      <c r="T20" s="7">
        <f t="shared" si="8"/>
        <v>0</v>
      </c>
      <c r="U20" s="6"/>
      <c r="V20" s="7">
        <f t="shared" si="9"/>
        <v>0</v>
      </c>
      <c r="W20" s="8">
        <f t="shared" si="10"/>
        <v>1193.8710580772668</v>
      </c>
      <c r="X20" s="6">
        <f t="shared" si="11"/>
        <v>10</v>
      </c>
      <c r="Y20" s="6">
        <f>COUNTA(E20,G20,I20,K20,M20,O20,U20,S20,Q20,#REF!)</f>
        <v>7</v>
      </c>
      <c r="Z20" s="16">
        <f t="shared" si="12"/>
        <v>0.875</v>
      </c>
    </row>
    <row r="21" spans="1:26" x14ac:dyDescent="0.3">
      <c r="A21" s="20">
        <f t="shared" si="0"/>
        <v>11</v>
      </c>
      <c r="B21" s="21" t="s">
        <v>208</v>
      </c>
      <c r="C21" s="21" t="s">
        <v>209</v>
      </c>
      <c r="D21" s="21" t="s">
        <v>305</v>
      </c>
      <c r="E21" s="21"/>
      <c r="F21" s="22">
        <f t="shared" si="1"/>
        <v>0</v>
      </c>
      <c r="G21" s="6">
        <v>170</v>
      </c>
      <c r="H21" s="7">
        <f t="shared" si="2"/>
        <v>171.81467181467181</v>
      </c>
      <c r="I21" s="6">
        <v>26</v>
      </c>
      <c r="J21" s="7">
        <f t="shared" si="3"/>
        <v>47.058823529411768</v>
      </c>
      <c r="K21" s="21">
        <v>21</v>
      </c>
      <c r="L21" s="22">
        <f t="shared" si="4"/>
        <v>89.473684210526315</v>
      </c>
      <c r="M21" s="21">
        <v>28</v>
      </c>
      <c r="N21" s="22">
        <f t="shared" si="5"/>
        <v>69.767441860465112</v>
      </c>
      <c r="O21" s="21">
        <v>109</v>
      </c>
      <c r="P21" s="22">
        <f t="shared" si="6"/>
        <v>271.96652719665269</v>
      </c>
      <c r="Q21" s="6">
        <v>125</v>
      </c>
      <c r="R21" s="7">
        <f t="shared" si="7"/>
        <v>196.60194174757282</v>
      </c>
      <c r="S21" s="6">
        <v>14</v>
      </c>
      <c r="T21" s="7">
        <f t="shared" si="8"/>
        <v>117.39130434782609</v>
      </c>
      <c r="U21" s="6"/>
      <c r="V21" s="7">
        <f t="shared" si="9"/>
        <v>0</v>
      </c>
      <c r="W21" s="8">
        <f t="shared" si="10"/>
        <v>964.07439470712666</v>
      </c>
      <c r="X21" s="6">
        <f t="shared" si="11"/>
        <v>11</v>
      </c>
      <c r="Y21" s="6">
        <f>COUNTA(E21,G21,I21,K21,M21,O21,U21,S21,Q21,#REF!)</f>
        <v>8</v>
      </c>
      <c r="Z21" s="16">
        <f t="shared" si="12"/>
        <v>1</v>
      </c>
    </row>
    <row r="22" spans="1:26" x14ac:dyDescent="0.3">
      <c r="A22" s="20">
        <f t="shared" si="0"/>
        <v>12</v>
      </c>
      <c r="B22" s="21" t="s">
        <v>206</v>
      </c>
      <c r="C22" s="21" t="s">
        <v>207</v>
      </c>
      <c r="D22" s="21" t="s">
        <v>131</v>
      </c>
      <c r="E22" s="21"/>
      <c r="F22" s="22">
        <f t="shared" si="1"/>
        <v>0</v>
      </c>
      <c r="G22" s="6">
        <v>101</v>
      </c>
      <c r="H22" s="7">
        <f t="shared" si="2"/>
        <v>305.01930501930502</v>
      </c>
      <c r="I22" s="6"/>
      <c r="J22" s="7">
        <f t="shared" si="3"/>
        <v>0</v>
      </c>
      <c r="K22" s="21"/>
      <c r="L22" s="22">
        <f t="shared" si="4"/>
        <v>0</v>
      </c>
      <c r="M22" s="21">
        <v>15</v>
      </c>
      <c r="N22" s="22">
        <f t="shared" si="5"/>
        <v>130.23255813953489</v>
      </c>
      <c r="O22" s="21"/>
      <c r="P22" s="22">
        <f t="shared" si="6"/>
        <v>0</v>
      </c>
      <c r="Q22" s="6"/>
      <c r="R22" s="7">
        <f t="shared" si="7"/>
        <v>0</v>
      </c>
      <c r="S22" s="6">
        <v>2</v>
      </c>
      <c r="T22" s="7">
        <f t="shared" si="8"/>
        <v>273.91304347826087</v>
      </c>
      <c r="U22" s="6"/>
      <c r="V22" s="7">
        <f t="shared" si="9"/>
        <v>0</v>
      </c>
      <c r="W22" s="8">
        <f t="shared" si="10"/>
        <v>709.16490663710078</v>
      </c>
      <c r="X22" s="6">
        <f t="shared" si="11"/>
        <v>12</v>
      </c>
      <c r="Y22" s="6">
        <f>COUNTA(E22,G22,I22,K22,M22,O22,U22,S22,Q22,#REF!)</f>
        <v>4</v>
      </c>
      <c r="Z22" s="16">
        <f t="shared" si="12"/>
        <v>0.5</v>
      </c>
    </row>
    <row r="23" spans="1:26" x14ac:dyDescent="0.3">
      <c r="A23" s="20">
        <f t="shared" si="0"/>
        <v>13</v>
      </c>
      <c r="B23" s="21" t="s">
        <v>308</v>
      </c>
      <c r="C23" s="21" t="s">
        <v>309</v>
      </c>
      <c r="D23" s="21" t="s">
        <v>304</v>
      </c>
      <c r="E23" s="21"/>
      <c r="F23" s="22">
        <f t="shared" si="1"/>
        <v>0</v>
      </c>
      <c r="G23" s="6">
        <v>72</v>
      </c>
      <c r="H23" s="7">
        <f t="shared" si="2"/>
        <v>361.003861003861</v>
      </c>
      <c r="I23" s="6"/>
      <c r="J23" s="7">
        <f t="shared" si="3"/>
        <v>0</v>
      </c>
      <c r="K23" s="21"/>
      <c r="L23" s="22">
        <f t="shared" si="4"/>
        <v>0</v>
      </c>
      <c r="M23" s="21"/>
      <c r="N23" s="22">
        <f t="shared" si="5"/>
        <v>0</v>
      </c>
      <c r="O23" s="21"/>
      <c r="P23" s="22">
        <f t="shared" si="6"/>
        <v>0</v>
      </c>
      <c r="Q23" s="6"/>
      <c r="R23" s="7">
        <f t="shared" si="7"/>
        <v>0</v>
      </c>
      <c r="S23" s="6">
        <v>3</v>
      </c>
      <c r="T23" s="7">
        <f t="shared" si="8"/>
        <v>260.86956521739131</v>
      </c>
      <c r="U23" s="6"/>
      <c r="V23" s="7">
        <f t="shared" si="9"/>
        <v>0</v>
      </c>
      <c r="W23" s="8">
        <f t="shared" si="10"/>
        <v>621.87342622125232</v>
      </c>
      <c r="X23" s="6">
        <f t="shared" si="11"/>
        <v>13</v>
      </c>
      <c r="Y23" s="6">
        <f>COUNTA(E23,G23,I23,K23,M23,O23,U23,S23,Q23,#REF!)</f>
        <v>3</v>
      </c>
      <c r="Z23" s="16">
        <f t="shared" si="12"/>
        <v>0.375</v>
      </c>
    </row>
    <row r="24" spans="1:26" x14ac:dyDescent="0.3">
      <c r="A24" s="20">
        <f t="shared" si="0"/>
        <v>14</v>
      </c>
      <c r="B24" s="21" t="s">
        <v>210</v>
      </c>
      <c r="C24" s="21" t="s">
        <v>309</v>
      </c>
      <c r="D24" s="21" t="s">
        <v>246</v>
      </c>
      <c r="E24" s="21"/>
      <c r="F24" s="22">
        <f t="shared" si="1"/>
        <v>0</v>
      </c>
      <c r="G24" s="6">
        <v>197</v>
      </c>
      <c r="H24" s="7">
        <f t="shared" si="2"/>
        <v>119.6911196911197</v>
      </c>
      <c r="I24" s="6"/>
      <c r="J24" s="7">
        <f t="shared" si="3"/>
        <v>0</v>
      </c>
      <c r="K24" s="21"/>
      <c r="L24" s="22">
        <f t="shared" si="4"/>
        <v>0</v>
      </c>
      <c r="M24" s="21">
        <v>13</v>
      </c>
      <c r="N24" s="22">
        <f t="shared" si="5"/>
        <v>139.53488372093022</v>
      </c>
      <c r="O24" s="21">
        <v>154</v>
      </c>
      <c r="P24" s="22">
        <f t="shared" si="6"/>
        <v>177.82426778242677</v>
      </c>
      <c r="Q24" s="6">
        <v>163</v>
      </c>
      <c r="R24" s="7">
        <f t="shared" si="7"/>
        <v>104.36893203883496</v>
      </c>
      <c r="S24" s="6">
        <v>21</v>
      </c>
      <c r="T24" s="7">
        <f t="shared" si="8"/>
        <v>26.086956521739129</v>
      </c>
      <c r="U24" s="6"/>
      <c r="V24" s="7">
        <f t="shared" si="9"/>
        <v>0</v>
      </c>
      <c r="W24" s="8">
        <f t="shared" si="10"/>
        <v>567.50615975505082</v>
      </c>
      <c r="X24" s="6">
        <f t="shared" si="11"/>
        <v>14</v>
      </c>
      <c r="Y24" s="6">
        <f>COUNTA(E24,G24,I24,K24,M24,O24,U24,S24,Q24,#REF!)</f>
        <v>6</v>
      </c>
      <c r="Z24" s="16">
        <f t="shared" si="12"/>
        <v>0.75</v>
      </c>
    </row>
    <row r="25" spans="1:26" x14ac:dyDescent="0.3">
      <c r="A25" s="20">
        <f t="shared" si="0"/>
        <v>15</v>
      </c>
      <c r="B25" s="21" t="s">
        <v>296</v>
      </c>
      <c r="C25" s="21" t="s">
        <v>297</v>
      </c>
      <c r="D25" s="21" t="s">
        <v>295</v>
      </c>
      <c r="E25" s="21">
        <v>8</v>
      </c>
      <c r="F25" s="22">
        <f t="shared" si="1"/>
        <v>138.46153846153845</v>
      </c>
      <c r="G25" s="6">
        <v>149</v>
      </c>
      <c r="H25" s="7">
        <f t="shared" si="2"/>
        <v>212.35521235521236</v>
      </c>
      <c r="I25" s="6"/>
      <c r="J25" s="7">
        <f t="shared" si="3"/>
        <v>0</v>
      </c>
      <c r="K25" s="21"/>
      <c r="L25" s="22">
        <f t="shared" si="4"/>
        <v>0</v>
      </c>
      <c r="M25" s="21"/>
      <c r="N25" s="22">
        <f t="shared" si="5"/>
        <v>0</v>
      </c>
      <c r="O25" s="21"/>
      <c r="P25" s="22">
        <f t="shared" si="6"/>
        <v>0</v>
      </c>
      <c r="Q25" s="6"/>
      <c r="R25" s="7">
        <f t="shared" si="7"/>
        <v>0</v>
      </c>
      <c r="S25" s="6">
        <v>8</v>
      </c>
      <c r="T25" s="7">
        <f t="shared" si="8"/>
        <v>195.65217391304347</v>
      </c>
      <c r="U25" s="6"/>
      <c r="V25" s="7">
        <f t="shared" si="9"/>
        <v>0</v>
      </c>
      <c r="W25" s="8">
        <f t="shared" si="10"/>
        <v>546.46892472979425</v>
      </c>
      <c r="X25" s="6">
        <f t="shared" si="11"/>
        <v>15</v>
      </c>
      <c r="Y25" s="6">
        <f>COUNTA(E25,G25,I25,K25,M25,O25,U25,S25,Q25,#REF!)</f>
        <v>4</v>
      </c>
      <c r="Z25" s="16">
        <f t="shared" si="12"/>
        <v>0.5</v>
      </c>
    </row>
    <row r="26" spans="1:26" x14ac:dyDescent="0.3">
      <c r="A26" s="20">
        <f t="shared" si="0"/>
        <v>16</v>
      </c>
      <c r="B26" s="21" t="s">
        <v>299</v>
      </c>
      <c r="C26" s="21" t="s">
        <v>224</v>
      </c>
      <c r="D26" s="21" t="s">
        <v>131</v>
      </c>
      <c r="E26" s="21">
        <v>17</v>
      </c>
      <c r="F26" s="22">
        <f t="shared" si="1"/>
        <v>69.230769230769226</v>
      </c>
      <c r="G26" s="6">
        <v>140</v>
      </c>
      <c r="H26" s="7">
        <f t="shared" si="2"/>
        <v>229.72972972972974</v>
      </c>
      <c r="I26" s="6"/>
      <c r="J26" s="7">
        <f t="shared" si="3"/>
        <v>0</v>
      </c>
      <c r="K26" s="21"/>
      <c r="L26" s="22">
        <f t="shared" si="4"/>
        <v>0</v>
      </c>
      <c r="M26" s="21">
        <v>25</v>
      </c>
      <c r="N26" s="22">
        <f t="shared" si="5"/>
        <v>83.720930232558146</v>
      </c>
      <c r="O26" s="21"/>
      <c r="P26" s="22">
        <f t="shared" si="6"/>
        <v>0</v>
      </c>
      <c r="Q26" s="6"/>
      <c r="R26" s="7">
        <f t="shared" si="7"/>
        <v>0</v>
      </c>
      <c r="S26" s="6">
        <v>11</v>
      </c>
      <c r="T26" s="7">
        <f t="shared" si="8"/>
        <v>156.52173913043478</v>
      </c>
      <c r="U26" s="6"/>
      <c r="V26" s="7">
        <f t="shared" si="9"/>
        <v>0</v>
      </c>
      <c r="W26" s="8">
        <f t="shared" si="10"/>
        <v>539.20316832349192</v>
      </c>
      <c r="X26" s="6">
        <f t="shared" si="11"/>
        <v>16</v>
      </c>
      <c r="Y26" s="6">
        <f>COUNTA(E26,G26,I26,K26,M26,O26,U26,S26,Q26,#REF!)</f>
        <v>5</v>
      </c>
      <c r="Z26" s="16">
        <f t="shared" si="12"/>
        <v>0.625</v>
      </c>
    </row>
    <row r="27" spans="1:26" x14ac:dyDescent="0.3">
      <c r="A27" s="20">
        <f t="shared" si="0"/>
        <v>17</v>
      </c>
      <c r="B27" s="21" t="s">
        <v>313</v>
      </c>
      <c r="C27" s="21" t="s">
        <v>233</v>
      </c>
      <c r="D27" s="21" t="s">
        <v>246</v>
      </c>
      <c r="E27" s="21"/>
      <c r="F27" s="22">
        <f t="shared" si="1"/>
        <v>0</v>
      </c>
      <c r="G27" s="6">
        <v>185</v>
      </c>
      <c r="H27" s="7">
        <f t="shared" si="2"/>
        <v>142.85714285714286</v>
      </c>
      <c r="I27" s="6"/>
      <c r="J27" s="7">
        <f t="shared" si="3"/>
        <v>0</v>
      </c>
      <c r="K27" s="21"/>
      <c r="L27" s="22">
        <f t="shared" si="4"/>
        <v>0</v>
      </c>
      <c r="M27" s="21">
        <v>33</v>
      </c>
      <c r="N27" s="22">
        <f t="shared" si="5"/>
        <v>46.511627906976742</v>
      </c>
      <c r="O27" s="21">
        <v>89</v>
      </c>
      <c r="P27" s="22">
        <f t="shared" si="6"/>
        <v>313.80753138075312</v>
      </c>
      <c r="Q27" s="6">
        <v>198</v>
      </c>
      <c r="R27" s="7">
        <f t="shared" si="7"/>
        <v>19.417475728155338</v>
      </c>
      <c r="S27" s="6"/>
      <c r="T27" s="7">
        <f t="shared" si="8"/>
        <v>0</v>
      </c>
      <c r="U27" s="6"/>
      <c r="V27" s="7">
        <f t="shared" si="9"/>
        <v>0</v>
      </c>
      <c r="W27" s="8">
        <f t="shared" si="10"/>
        <v>522.59377787302799</v>
      </c>
      <c r="X27" s="6">
        <f t="shared" si="11"/>
        <v>17</v>
      </c>
      <c r="Y27" s="6">
        <f>COUNTA(E27,G27,I27,K27,M27,O27,U27,S27,Q27,#REF!)</f>
        <v>5</v>
      </c>
      <c r="Z27" s="16">
        <f t="shared" si="12"/>
        <v>0.625</v>
      </c>
    </row>
    <row r="28" spans="1:26" x14ac:dyDescent="0.3">
      <c r="A28" s="20">
        <f t="shared" si="0"/>
        <v>18</v>
      </c>
      <c r="B28" s="21" t="s">
        <v>311</v>
      </c>
      <c r="C28" s="21" t="s">
        <v>312</v>
      </c>
      <c r="D28" s="21" t="s">
        <v>246</v>
      </c>
      <c r="E28" s="21"/>
      <c r="F28" s="22">
        <f t="shared" si="1"/>
        <v>0</v>
      </c>
      <c r="G28" s="6">
        <v>161</v>
      </c>
      <c r="H28" s="7">
        <f t="shared" si="2"/>
        <v>189.18918918918919</v>
      </c>
      <c r="I28" s="6"/>
      <c r="J28" s="7">
        <f t="shared" si="3"/>
        <v>0</v>
      </c>
      <c r="K28" s="21"/>
      <c r="L28" s="22">
        <f t="shared" si="4"/>
        <v>0</v>
      </c>
      <c r="M28" s="21">
        <v>10</v>
      </c>
      <c r="N28" s="22">
        <f t="shared" si="5"/>
        <v>153.48837209302326</v>
      </c>
      <c r="O28" s="21">
        <v>196</v>
      </c>
      <c r="P28" s="22">
        <f t="shared" si="6"/>
        <v>89.958158995815893</v>
      </c>
      <c r="Q28" s="6"/>
      <c r="R28" s="7">
        <f t="shared" si="7"/>
        <v>0</v>
      </c>
      <c r="S28" s="6"/>
      <c r="T28" s="7">
        <f t="shared" si="8"/>
        <v>0</v>
      </c>
      <c r="U28" s="6"/>
      <c r="V28" s="7">
        <f t="shared" si="9"/>
        <v>0</v>
      </c>
      <c r="W28" s="8">
        <f t="shared" si="10"/>
        <v>432.63572027802832</v>
      </c>
      <c r="X28" s="6">
        <f t="shared" si="11"/>
        <v>18</v>
      </c>
      <c r="Y28" s="6">
        <f>COUNTA(E28,G28,I28,K28,M28,O28,U28,S28,Q28,#REF!)</f>
        <v>4</v>
      </c>
      <c r="Z28" s="16">
        <f t="shared" si="12"/>
        <v>0.5</v>
      </c>
    </row>
    <row r="29" spans="1:26" x14ac:dyDescent="0.3">
      <c r="A29" s="20">
        <f t="shared" si="0"/>
        <v>19</v>
      </c>
      <c r="B29" s="21" t="s">
        <v>298</v>
      </c>
      <c r="C29" s="21" t="s">
        <v>301</v>
      </c>
      <c r="D29" s="21" t="s">
        <v>131</v>
      </c>
      <c r="E29" s="21">
        <v>11</v>
      </c>
      <c r="F29" s="22">
        <f t="shared" si="1"/>
        <v>115.38461538461539</v>
      </c>
      <c r="G29" s="6">
        <v>169</v>
      </c>
      <c r="H29" s="7">
        <f t="shared" si="2"/>
        <v>173.74517374517376</v>
      </c>
      <c r="I29" s="6"/>
      <c r="J29" s="7">
        <f t="shared" si="3"/>
        <v>0</v>
      </c>
      <c r="K29" s="21"/>
      <c r="L29" s="22">
        <f t="shared" si="4"/>
        <v>0</v>
      </c>
      <c r="M29" s="21">
        <v>29</v>
      </c>
      <c r="N29" s="22">
        <f t="shared" si="5"/>
        <v>65.116279069767444</v>
      </c>
      <c r="O29" s="21"/>
      <c r="P29" s="22">
        <f t="shared" si="6"/>
        <v>0</v>
      </c>
      <c r="Q29" s="6"/>
      <c r="R29" s="7">
        <f t="shared" si="7"/>
        <v>0</v>
      </c>
      <c r="S29" s="6">
        <v>20</v>
      </c>
      <c r="T29" s="7">
        <f t="shared" si="8"/>
        <v>39.130434782608695</v>
      </c>
      <c r="U29" s="6"/>
      <c r="V29" s="7">
        <f t="shared" si="9"/>
        <v>0</v>
      </c>
      <c r="W29" s="8">
        <f t="shared" si="10"/>
        <v>393.37650298216528</v>
      </c>
      <c r="X29" s="6">
        <f t="shared" si="11"/>
        <v>19</v>
      </c>
      <c r="Y29" s="6">
        <f>COUNTA(E29,G29,I29,K29,M29,O29,U29,S29,Q29,#REF!)</f>
        <v>5</v>
      </c>
      <c r="Z29" s="16">
        <f t="shared" si="12"/>
        <v>0.625</v>
      </c>
    </row>
    <row r="30" spans="1:26" x14ac:dyDescent="0.3">
      <c r="A30" s="20">
        <f t="shared" si="0"/>
        <v>20</v>
      </c>
      <c r="B30" s="21" t="s">
        <v>629</v>
      </c>
      <c r="C30" s="21" t="s">
        <v>315</v>
      </c>
      <c r="D30" s="21" t="s">
        <v>246</v>
      </c>
      <c r="E30" s="21"/>
      <c r="F30" s="22">
        <f t="shared" si="1"/>
        <v>0</v>
      </c>
      <c r="G30" s="6"/>
      <c r="H30" s="7">
        <f t="shared" si="2"/>
        <v>0</v>
      </c>
      <c r="I30" s="6"/>
      <c r="J30" s="7">
        <f t="shared" si="3"/>
        <v>0</v>
      </c>
      <c r="K30" s="21">
        <v>8</v>
      </c>
      <c r="L30" s="22">
        <f t="shared" si="4"/>
        <v>157.89473684210526</v>
      </c>
      <c r="M30" s="21">
        <v>20</v>
      </c>
      <c r="N30" s="22">
        <f t="shared" si="5"/>
        <v>106.97674418604652</v>
      </c>
      <c r="O30" s="21"/>
      <c r="P30" s="22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6"/>
      <c r="V30" s="7">
        <f t="shared" si="9"/>
        <v>0</v>
      </c>
      <c r="W30" s="8">
        <f t="shared" si="10"/>
        <v>264.87148102815178</v>
      </c>
      <c r="X30" s="6">
        <f t="shared" si="11"/>
        <v>20</v>
      </c>
      <c r="Y30" s="6">
        <f>COUNTA(E30,G30,I30,K30,M30,O30,U30,S30,Q30,#REF!)</f>
        <v>3</v>
      </c>
      <c r="Z30" s="16">
        <f t="shared" si="12"/>
        <v>0.375</v>
      </c>
    </row>
    <row r="31" spans="1:26" x14ac:dyDescent="0.3">
      <c r="A31" s="20">
        <f t="shared" si="0"/>
        <v>21</v>
      </c>
      <c r="B31" s="21" t="s">
        <v>200</v>
      </c>
      <c r="C31" s="21" t="s">
        <v>201</v>
      </c>
      <c r="D31" s="21" t="s">
        <v>131</v>
      </c>
      <c r="E31" s="21"/>
      <c r="F31" s="22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21"/>
      <c r="L31" s="22">
        <f t="shared" si="4"/>
        <v>0</v>
      </c>
      <c r="M31" s="21">
        <v>16</v>
      </c>
      <c r="N31" s="22">
        <f t="shared" si="5"/>
        <v>125.58139534883721</v>
      </c>
      <c r="O31" s="21"/>
      <c r="P31" s="22">
        <f t="shared" si="6"/>
        <v>0</v>
      </c>
      <c r="Q31" s="6"/>
      <c r="R31" s="7">
        <f t="shared" si="7"/>
        <v>0</v>
      </c>
      <c r="S31" s="6">
        <v>15</v>
      </c>
      <c r="T31" s="7">
        <f t="shared" si="8"/>
        <v>104.34782608695652</v>
      </c>
      <c r="U31" s="6"/>
      <c r="V31" s="7">
        <f t="shared" si="9"/>
        <v>0</v>
      </c>
      <c r="W31" s="8">
        <f t="shared" si="10"/>
        <v>229.92922143579372</v>
      </c>
      <c r="X31" s="6">
        <f t="shared" si="11"/>
        <v>21</v>
      </c>
      <c r="Y31" s="6">
        <f>COUNTA(E31,G31,I31,K31,M31,O31,U31,S31,Q31,#REF!)</f>
        <v>3</v>
      </c>
      <c r="Z31" s="16">
        <f t="shared" si="12"/>
        <v>0.375</v>
      </c>
    </row>
    <row r="32" spans="1:26" x14ac:dyDescent="0.3">
      <c r="A32" s="20">
        <f t="shared" si="0"/>
        <v>22</v>
      </c>
      <c r="B32" s="21" t="s">
        <v>669</v>
      </c>
      <c r="C32" s="21" t="s">
        <v>670</v>
      </c>
      <c r="D32" s="21" t="s">
        <v>305</v>
      </c>
      <c r="E32" s="21"/>
      <c r="F32" s="22">
        <f t="shared" si="1"/>
        <v>0</v>
      </c>
      <c r="G32" s="6"/>
      <c r="H32" s="7">
        <f t="shared" si="2"/>
        <v>0</v>
      </c>
      <c r="I32" s="6"/>
      <c r="J32" s="7">
        <f t="shared" si="3"/>
        <v>0</v>
      </c>
      <c r="K32" s="21"/>
      <c r="L32" s="22">
        <f t="shared" si="4"/>
        <v>0</v>
      </c>
      <c r="M32" s="21"/>
      <c r="N32" s="22">
        <f t="shared" si="5"/>
        <v>0</v>
      </c>
      <c r="O32" s="6">
        <v>201</v>
      </c>
      <c r="P32" s="7">
        <f t="shared" si="6"/>
        <v>79.4979079497908</v>
      </c>
      <c r="Q32" s="6"/>
      <c r="R32" s="7">
        <f t="shared" si="7"/>
        <v>0</v>
      </c>
      <c r="S32" s="6">
        <v>16</v>
      </c>
      <c r="T32" s="7">
        <f t="shared" si="8"/>
        <v>91.304347826086953</v>
      </c>
      <c r="U32" s="6"/>
      <c r="V32" s="7">
        <f t="shared" si="9"/>
        <v>0</v>
      </c>
      <c r="W32" s="8">
        <f t="shared" si="10"/>
        <v>170.80225577587777</v>
      </c>
      <c r="X32" s="6">
        <f t="shared" si="11"/>
        <v>22</v>
      </c>
      <c r="Y32" s="6">
        <f>COUNTA(E32,G32,I32,K32,M32,O32,U32,S32,Q32,#REF!)</f>
        <v>3</v>
      </c>
      <c r="Z32" s="16">
        <f t="shared" si="12"/>
        <v>0.375</v>
      </c>
    </row>
    <row r="33" spans="1:26" x14ac:dyDescent="0.3">
      <c r="A33" s="20">
        <f t="shared" si="0"/>
        <v>23</v>
      </c>
      <c r="B33" s="21" t="s">
        <v>217</v>
      </c>
      <c r="C33" s="21" t="s">
        <v>224</v>
      </c>
      <c r="D33" s="21" t="s">
        <v>246</v>
      </c>
      <c r="E33" s="21"/>
      <c r="F33" s="22">
        <f t="shared" si="1"/>
        <v>0</v>
      </c>
      <c r="G33" s="6"/>
      <c r="H33" s="7">
        <f t="shared" si="2"/>
        <v>0</v>
      </c>
      <c r="I33" s="6"/>
      <c r="J33" s="7">
        <f t="shared" si="3"/>
        <v>0</v>
      </c>
      <c r="K33" s="21"/>
      <c r="L33" s="22">
        <f t="shared" si="4"/>
        <v>0</v>
      </c>
      <c r="M33" s="21">
        <v>8</v>
      </c>
      <c r="N33" s="22">
        <f t="shared" si="5"/>
        <v>162.7906976744186</v>
      </c>
      <c r="O33" s="21"/>
      <c r="P33" s="22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6"/>
      <c r="V33" s="7">
        <f t="shared" si="9"/>
        <v>0</v>
      </c>
      <c r="W33" s="8">
        <f t="shared" si="10"/>
        <v>162.7906976744186</v>
      </c>
      <c r="X33" s="6">
        <f t="shared" si="11"/>
        <v>23</v>
      </c>
      <c r="Y33" s="6">
        <f>COUNTA(E33,G33,I33,K33,M33,O33,U33,S33,Q33,#REF!)</f>
        <v>2</v>
      </c>
      <c r="Z33" s="16">
        <f t="shared" si="12"/>
        <v>0.25</v>
      </c>
    </row>
    <row r="34" spans="1:26" x14ac:dyDescent="0.3">
      <c r="A34" s="20">
        <f t="shared" si="0"/>
        <v>24</v>
      </c>
      <c r="B34" s="21" t="s">
        <v>157</v>
      </c>
      <c r="C34" s="21" t="s">
        <v>161</v>
      </c>
      <c r="D34" s="21" t="s">
        <v>305</v>
      </c>
      <c r="E34" s="21"/>
      <c r="F34" s="22">
        <f t="shared" si="1"/>
        <v>0</v>
      </c>
      <c r="G34" s="6"/>
      <c r="H34" s="7">
        <f t="shared" si="2"/>
        <v>0</v>
      </c>
      <c r="I34" s="6"/>
      <c r="J34" s="7">
        <f t="shared" si="3"/>
        <v>0</v>
      </c>
      <c r="K34" s="21">
        <v>23</v>
      </c>
      <c r="L34" s="22">
        <f t="shared" si="4"/>
        <v>78.94736842105263</v>
      </c>
      <c r="M34" s="21">
        <v>39</v>
      </c>
      <c r="N34" s="22">
        <f t="shared" si="5"/>
        <v>18.604651162790699</v>
      </c>
      <c r="O34" s="21"/>
      <c r="P34" s="22">
        <f t="shared" si="6"/>
        <v>0</v>
      </c>
      <c r="Q34" s="6"/>
      <c r="R34" s="7">
        <f t="shared" si="7"/>
        <v>0</v>
      </c>
      <c r="S34" s="6">
        <v>18</v>
      </c>
      <c r="T34" s="7">
        <f t="shared" si="8"/>
        <v>65.217391304347828</v>
      </c>
      <c r="U34" s="6"/>
      <c r="V34" s="7">
        <f t="shared" si="9"/>
        <v>0</v>
      </c>
      <c r="W34" s="8">
        <f t="shared" si="10"/>
        <v>162.76941088819115</v>
      </c>
      <c r="X34" s="6">
        <f t="shared" si="11"/>
        <v>24</v>
      </c>
      <c r="Y34" s="6">
        <f>COUNTA(E34,G34,I34,K34,M34,O34,U34,S34,Q34,#REF!)</f>
        <v>4</v>
      </c>
      <c r="Z34" s="16">
        <f t="shared" si="12"/>
        <v>0.5</v>
      </c>
    </row>
    <row r="35" spans="1:26" x14ac:dyDescent="0.3">
      <c r="A35" s="20">
        <f t="shared" si="0"/>
        <v>25</v>
      </c>
      <c r="B35" s="21" t="s">
        <v>798</v>
      </c>
      <c r="C35" s="21" t="s">
        <v>799</v>
      </c>
      <c r="D35" s="21" t="s">
        <v>304</v>
      </c>
      <c r="E35" s="21"/>
      <c r="F35" s="22"/>
      <c r="G35" s="6"/>
      <c r="H35" s="7"/>
      <c r="I35" s="6"/>
      <c r="J35" s="7"/>
      <c r="K35" s="21"/>
      <c r="L35" s="22"/>
      <c r="M35" s="21"/>
      <c r="N35" s="22"/>
      <c r="O35" s="21"/>
      <c r="P35" s="22"/>
      <c r="Q35" s="6"/>
      <c r="R35" s="7"/>
      <c r="S35" s="6">
        <v>13</v>
      </c>
      <c r="T35" s="7">
        <f t="shared" si="8"/>
        <v>130.43478260869566</v>
      </c>
      <c r="U35" s="6"/>
      <c r="V35" s="7"/>
      <c r="W35" s="8">
        <f t="shared" si="10"/>
        <v>130.43478260869566</v>
      </c>
      <c r="X35" s="6">
        <f t="shared" si="11"/>
        <v>25</v>
      </c>
      <c r="Y35" s="6">
        <f>COUNTA(E35,G35,I35,K35,M35,O35,U35,S35,Q35,#REF!)</f>
        <v>2</v>
      </c>
      <c r="Z35" s="16">
        <f t="shared" si="12"/>
        <v>0.25</v>
      </c>
    </row>
    <row r="36" spans="1:26" x14ac:dyDescent="0.3">
      <c r="A36" s="20">
        <f t="shared" ref="A36:A50" si="13">X36</f>
        <v>26</v>
      </c>
      <c r="B36" s="21" t="s">
        <v>634</v>
      </c>
      <c r="C36" s="21" t="s">
        <v>635</v>
      </c>
      <c r="D36" s="21" t="s">
        <v>264</v>
      </c>
      <c r="E36" s="21"/>
      <c r="F36" s="22">
        <f t="shared" ref="F36:F41" si="14">IF(E36=0,,($E$9-E36)*$E$7*100/$E$9)</f>
        <v>0</v>
      </c>
      <c r="G36" s="6"/>
      <c r="H36" s="7">
        <f t="shared" ref="H36:H41" si="15">IF(G36=0,,($G$9-G36)*$G$7*100/$G$9)</f>
        <v>0</v>
      </c>
      <c r="I36" s="6"/>
      <c r="J36" s="7">
        <f t="shared" ref="J36:J41" si="16">IF(I36=0,,($I$9-I36)*$I$7*100/$I$9)</f>
        <v>0</v>
      </c>
      <c r="K36" s="21">
        <v>20</v>
      </c>
      <c r="L36" s="22">
        <f t="shared" ref="L36:L41" si="17">IF(K36=0,,($K$9-K36)*$K$7*100/$K$9)</f>
        <v>94.736842105263165</v>
      </c>
      <c r="M36" s="21">
        <v>37</v>
      </c>
      <c r="N36" s="22">
        <f t="shared" ref="N36:N41" si="18">IF(M36=0,,($M$9-M36)*$M$7*100/$M$9)</f>
        <v>27.906976744186046</v>
      </c>
      <c r="O36" s="21"/>
      <c r="P36" s="22">
        <f t="shared" ref="P36:P41" si="19">IF(O36=0,,($O$9-O36)*$O$7*100/$O$9)</f>
        <v>0</v>
      </c>
      <c r="Q36" s="6"/>
      <c r="R36" s="7">
        <f t="shared" ref="R36:R41" si="20">IF(Q36=0,,($Q$9-Q36)*$Q$7*100/$Q$9)</f>
        <v>0</v>
      </c>
      <c r="S36" s="6"/>
      <c r="T36" s="7">
        <f t="shared" si="8"/>
        <v>0</v>
      </c>
      <c r="U36" s="6"/>
      <c r="V36" s="7">
        <f t="shared" ref="V36:V41" si="21">IF(U36=0,,($U$9-U36)*$U$7*100/$U$9)</f>
        <v>0</v>
      </c>
      <c r="W36" s="8">
        <f t="shared" si="10"/>
        <v>122.64381884944922</v>
      </c>
      <c r="X36" s="6">
        <f t="shared" si="11"/>
        <v>26</v>
      </c>
      <c r="Y36" s="6">
        <f>COUNTA(E36,G36,I36,K36,M36,O36,U36,S36,Q36,#REF!)</f>
        <v>3</v>
      </c>
      <c r="Z36" s="16">
        <f t="shared" ref="Z36:Z50" si="22">Y36/$G$3</f>
        <v>0.375</v>
      </c>
    </row>
    <row r="37" spans="1:26" x14ac:dyDescent="0.3">
      <c r="A37" s="20">
        <f t="shared" si="13"/>
        <v>27</v>
      </c>
      <c r="B37" s="21" t="s">
        <v>314</v>
      </c>
      <c r="C37" s="21" t="s">
        <v>315</v>
      </c>
      <c r="D37" s="21" t="s">
        <v>305</v>
      </c>
      <c r="E37" s="21"/>
      <c r="F37" s="22">
        <f t="shared" si="14"/>
        <v>0</v>
      </c>
      <c r="G37" s="6">
        <v>200</v>
      </c>
      <c r="H37" s="7">
        <f t="shared" si="15"/>
        <v>113.8996138996139</v>
      </c>
      <c r="I37" s="6"/>
      <c r="J37" s="7">
        <f t="shared" si="16"/>
        <v>0</v>
      </c>
      <c r="K37" s="21"/>
      <c r="L37" s="22">
        <f t="shared" si="17"/>
        <v>0</v>
      </c>
      <c r="M37" s="21"/>
      <c r="N37" s="22">
        <f t="shared" si="18"/>
        <v>0</v>
      </c>
      <c r="O37" s="21"/>
      <c r="P37" s="22">
        <f t="shared" si="19"/>
        <v>0</v>
      </c>
      <c r="Q37" s="6"/>
      <c r="R37" s="7">
        <f t="shared" si="20"/>
        <v>0</v>
      </c>
      <c r="S37" s="6"/>
      <c r="T37" s="7">
        <f t="shared" si="8"/>
        <v>0</v>
      </c>
      <c r="U37" s="6"/>
      <c r="V37" s="7">
        <f t="shared" si="21"/>
        <v>0</v>
      </c>
      <c r="W37" s="8">
        <f t="shared" si="10"/>
        <v>113.8996138996139</v>
      </c>
      <c r="X37" s="6">
        <f t="shared" si="11"/>
        <v>27</v>
      </c>
      <c r="Y37" s="6">
        <f>COUNTA(E37,G37,I37,K37,M37,O37,U37,S37,Q37,#REF!)</f>
        <v>2</v>
      </c>
      <c r="Z37" s="16">
        <f t="shared" si="22"/>
        <v>0.25</v>
      </c>
    </row>
    <row r="38" spans="1:26" x14ac:dyDescent="0.3">
      <c r="A38" s="20">
        <f t="shared" si="13"/>
        <v>28</v>
      </c>
      <c r="B38" s="21" t="s">
        <v>630</v>
      </c>
      <c r="C38" s="21" t="s">
        <v>631</v>
      </c>
      <c r="D38" s="21" t="s">
        <v>304</v>
      </c>
      <c r="E38" s="21"/>
      <c r="F38" s="22">
        <f t="shared" si="14"/>
        <v>0</v>
      </c>
      <c r="G38" s="6"/>
      <c r="H38" s="7">
        <f t="shared" si="15"/>
        <v>0</v>
      </c>
      <c r="I38" s="6"/>
      <c r="J38" s="7">
        <f t="shared" si="16"/>
        <v>0</v>
      </c>
      <c r="K38" s="21"/>
      <c r="L38" s="22">
        <f t="shared" si="17"/>
        <v>0</v>
      </c>
      <c r="M38" s="21">
        <v>21</v>
      </c>
      <c r="N38" s="22">
        <f t="shared" si="18"/>
        <v>102.32558139534883</v>
      </c>
      <c r="O38" s="21"/>
      <c r="P38" s="22">
        <f t="shared" si="19"/>
        <v>0</v>
      </c>
      <c r="Q38" s="6"/>
      <c r="R38" s="7">
        <f t="shared" si="20"/>
        <v>0</v>
      </c>
      <c r="S38" s="6"/>
      <c r="T38" s="7">
        <f t="shared" si="8"/>
        <v>0</v>
      </c>
      <c r="U38" s="6"/>
      <c r="V38" s="7">
        <f t="shared" si="21"/>
        <v>0</v>
      </c>
      <c r="W38" s="8">
        <f t="shared" si="10"/>
        <v>102.32558139534883</v>
      </c>
      <c r="X38" s="6">
        <f t="shared" si="11"/>
        <v>28</v>
      </c>
      <c r="Y38" s="6">
        <f>COUNTA(E38,G38,I38,K38,M38,O38,U38,S38,Q38,#REF!)</f>
        <v>2</v>
      </c>
      <c r="Z38" s="16">
        <f t="shared" si="22"/>
        <v>0.25</v>
      </c>
    </row>
    <row r="39" spans="1:26" x14ac:dyDescent="0.3">
      <c r="A39" s="20">
        <f t="shared" si="13"/>
        <v>29</v>
      </c>
      <c r="B39" s="21" t="s">
        <v>474</v>
      </c>
      <c r="C39" s="21" t="s">
        <v>216</v>
      </c>
      <c r="D39" s="21" t="s">
        <v>264</v>
      </c>
      <c r="E39" s="21"/>
      <c r="F39" s="22">
        <f t="shared" si="14"/>
        <v>0</v>
      </c>
      <c r="G39" s="6"/>
      <c r="H39" s="7">
        <f t="shared" si="15"/>
        <v>0</v>
      </c>
      <c r="I39" s="6"/>
      <c r="J39" s="7">
        <f t="shared" si="16"/>
        <v>0</v>
      </c>
      <c r="K39" s="21">
        <v>20</v>
      </c>
      <c r="L39" s="22">
        <f t="shared" si="17"/>
        <v>94.736842105263165</v>
      </c>
      <c r="M39" s="21"/>
      <c r="N39" s="22">
        <f t="shared" si="18"/>
        <v>0</v>
      </c>
      <c r="O39" s="21"/>
      <c r="P39" s="22">
        <f t="shared" si="19"/>
        <v>0</v>
      </c>
      <c r="Q39" s="6"/>
      <c r="R39" s="7">
        <f t="shared" si="20"/>
        <v>0</v>
      </c>
      <c r="S39" s="6"/>
      <c r="T39" s="7">
        <f t="shared" si="8"/>
        <v>0</v>
      </c>
      <c r="U39" s="6"/>
      <c r="V39" s="7">
        <f t="shared" si="21"/>
        <v>0</v>
      </c>
      <c r="W39" s="8">
        <f t="shared" si="10"/>
        <v>94.736842105263165</v>
      </c>
      <c r="X39" s="6">
        <f t="shared" si="11"/>
        <v>29</v>
      </c>
      <c r="Y39" s="6">
        <f>COUNTA(E39,G39,I39,K39,M39,O39,U39,S39,Q39,#REF!)</f>
        <v>2</v>
      </c>
      <c r="Z39" s="16">
        <f t="shared" si="22"/>
        <v>0.25</v>
      </c>
    </row>
    <row r="40" spans="1:26" x14ac:dyDescent="0.3">
      <c r="A40" s="20">
        <f t="shared" si="13"/>
        <v>30</v>
      </c>
      <c r="B40" s="21" t="s">
        <v>217</v>
      </c>
      <c r="C40" s="21" t="s">
        <v>627</v>
      </c>
      <c r="D40" s="21" t="s">
        <v>246</v>
      </c>
      <c r="E40" s="21"/>
      <c r="F40" s="22">
        <f t="shared" si="14"/>
        <v>0</v>
      </c>
      <c r="G40" s="6"/>
      <c r="H40" s="7">
        <f t="shared" si="15"/>
        <v>0</v>
      </c>
      <c r="I40" s="6"/>
      <c r="J40" s="7">
        <f t="shared" si="16"/>
        <v>0</v>
      </c>
      <c r="K40" s="21"/>
      <c r="L40" s="22">
        <f t="shared" si="17"/>
        <v>0</v>
      </c>
      <c r="M40" s="21">
        <v>24</v>
      </c>
      <c r="N40" s="22">
        <f t="shared" si="18"/>
        <v>88.372093023255815</v>
      </c>
      <c r="O40" s="21"/>
      <c r="P40" s="22">
        <f t="shared" si="19"/>
        <v>0</v>
      </c>
      <c r="Q40" s="6"/>
      <c r="R40" s="7">
        <f t="shared" si="20"/>
        <v>0</v>
      </c>
      <c r="S40" s="6"/>
      <c r="T40" s="7">
        <f t="shared" si="8"/>
        <v>0</v>
      </c>
      <c r="U40" s="6"/>
      <c r="V40" s="7">
        <f t="shared" si="21"/>
        <v>0</v>
      </c>
      <c r="W40" s="8">
        <f t="shared" si="10"/>
        <v>88.372093023255815</v>
      </c>
      <c r="X40" s="6">
        <f t="shared" si="11"/>
        <v>30</v>
      </c>
      <c r="Y40" s="6">
        <f>COUNTA(E40,G40,I40,K40,M40,O40,U40,S40,Q40,#REF!)</f>
        <v>2</v>
      </c>
      <c r="Z40" s="16">
        <f t="shared" si="22"/>
        <v>0.25</v>
      </c>
    </row>
    <row r="41" spans="1:26" x14ac:dyDescent="0.3">
      <c r="A41" s="20">
        <f t="shared" si="13"/>
        <v>31</v>
      </c>
      <c r="B41" s="21" t="s">
        <v>212</v>
      </c>
      <c r="C41" s="21" t="s">
        <v>213</v>
      </c>
      <c r="D41" s="21" t="s">
        <v>278</v>
      </c>
      <c r="E41" s="21"/>
      <c r="F41" s="22">
        <f t="shared" si="14"/>
        <v>0</v>
      </c>
      <c r="G41" s="6"/>
      <c r="H41" s="7">
        <f t="shared" si="15"/>
        <v>0</v>
      </c>
      <c r="I41" s="6"/>
      <c r="J41" s="7">
        <f t="shared" si="16"/>
        <v>0</v>
      </c>
      <c r="K41" s="21">
        <v>23</v>
      </c>
      <c r="L41" s="22">
        <f t="shared" si="17"/>
        <v>78.94736842105263</v>
      </c>
      <c r="M41" s="21">
        <v>41</v>
      </c>
      <c r="N41" s="22">
        <f t="shared" si="18"/>
        <v>9.3023255813953494</v>
      </c>
      <c r="O41" s="21"/>
      <c r="P41" s="22">
        <f t="shared" si="19"/>
        <v>0</v>
      </c>
      <c r="Q41" s="6"/>
      <c r="R41" s="7">
        <f t="shared" si="20"/>
        <v>0</v>
      </c>
      <c r="S41" s="6"/>
      <c r="T41" s="7">
        <f t="shared" si="8"/>
        <v>0</v>
      </c>
      <c r="U41" s="6"/>
      <c r="V41" s="7">
        <f t="shared" si="21"/>
        <v>0</v>
      </c>
      <c r="W41" s="8">
        <f t="shared" si="10"/>
        <v>88.249694002447981</v>
      </c>
      <c r="X41" s="6">
        <f t="shared" si="11"/>
        <v>31</v>
      </c>
      <c r="Y41" s="6">
        <f>COUNTA(E41,G41,I41,K41,M41,O41,U41,S41,Q41,#REF!)</f>
        <v>3</v>
      </c>
      <c r="Z41" s="16">
        <f t="shared" si="22"/>
        <v>0.375</v>
      </c>
    </row>
    <row r="42" spans="1:26" x14ac:dyDescent="0.3">
      <c r="A42" s="20">
        <f t="shared" si="13"/>
        <v>32</v>
      </c>
      <c r="B42" s="21" t="s">
        <v>763</v>
      </c>
      <c r="C42" s="21" t="s">
        <v>631</v>
      </c>
      <c r="D42" s="21" t="s">
        <v>561</v>
      </c>
      <c r="E42" s="21"/>
      <c r="F42" s="22"/>
      <c r="G42" s="6"/>
      <c r="H42" s="7"/>
      <c r="I42" s="6"/>
      <c r="J42" s="7"/>
      <c r="K42" s="21"/>
      <c r="L42" s="22"/>
      <c r="M42" s="21"/>
      <c r="N42" s="22"/>
      <c r="O42" s="21"/>
      <c r="P42" s="22"/>
      <c r="Q42" s="6"/>
      <c r="R42" s="7"/>
      <c r="S42" s="6">
        <v>17</v>
      </c>
      <c r="T42" s="7">
        <f t="shared" si="8"/>
        <v>78.260869565217391</v>
      </c>
      <c r="U42" s="6"/>
      <c r="V42" s="7"/>
      <c r="W42" s="8">
        <f t="shared" si="10"/>
        <v>78.260869565217391</v>
      </c>
      <c r="X42" s="6">
        <f t="shared" si="11"/>
        <v>32</v>
      </c>
      <c r="Y42" s="6">
        <f>COUNTA(E42,G42,I42,K42,M42,O42,U42,S42,Q42,#REF!)</f>
        <v>2</v>
      </c>
      <c r="Z42" s="16">
        <f t="shared" si="22"/>
        <v>0.25</v>
      </c>
    </row>
    <row r="43" spans="1:26" x14ac:dyDescent="0.3">
      <c r="A43" s="20">
        <f t="shared" si="13"/>
        <v>33</v>
      </c>
      <c r="B43" s="21" t="s">
        <v>628</v>
      </c>
      <c r="C43" s="21" t="s">
        <v>224</v>
      </c>
      <c r="D43" s="21" t="s">
        <v>305</v>
      </c>
      <c r="E43" s="21"/>
      <c r="F43" s="22">
        <f>IF(E43=0,,($E$9-E43)*$E$7*100/$E$9)</f>
        <v>0</v>
      </c>
      <c r="G43" s="6"/>
      <c r="H43" s="7">
        <f>IF(G43=0,,($G$9-G43)*$G$7*100/$G$9)</f>
        <v>0</v>
      </c>
      <c r="I43" s="6"/>
      <c r="J43" s="7">
        <f>IF(I43=0,,($I$9-I43)*$I$7*100/$I$9)</f>
        <v>0</v>
      </c>
      <c r="K43" s="21"/>
      <c r="L43" s="22">
        <f>IF(K43=0,,($K$9-K43)*$K$7*100/$K$9)</f>
        <v>0</v>
      </c>
      <c r="M43" s="21">
        <v>27</v>
      </c>
      <c r="N43" s="22">
        <f>IF(M43=0,,($M$9-M43)*$M$7*100/$M$9)</f>
        <v>74.418604651162795</v>
      </c>
      <c r="O43" s="21"/>
      <c r="P43" s="22">
        <f>IF(O43=0,,($O$9-O43)*$O$7*100/$O$9)</f>
        <v>0</v>
      </c>
      <c r="Q43" s="6"/>
      <c r="R43" s="7">
        <f>IF(Q43=0,,($Q$9-Q43)*$Q$7*100/$Q$9)</f>
        <v>0</v>
      </c>
      <c r="S43" s="6"/>
      <c r="T43" s="7">
        <f t="shared" si="8"/>
        <v>0</v>
      </c>
      <c r="U43" s="6"/>
      <c r="V43" s="7">
        <f>IF(U43=0,,($U$9-U43)*$U$7*100/$U$9)</f>
        <v>0</v>
      </c>
      <c r="W43" s="8">
        <f t="shared" si="10"/>
        <v>74.418604651162795</v>
      </c>
      <c r="X43" s="6">
        <f t="shared" si="11"/>
        <v>33</v>
      </c>
      <c r="Y43" s="6">
        <f>COUNTA(E43,G43,I43,K43,M43,O43,U43,S43,Q43,#REF!)</f>
        <v>2</v>
      </c>
      <c r="Z43" s="16">
        <f t="shared" si="22"/>
        <v>0.25</v>
      </c>
    </row>
    <row r="44" spans="1:26" x14ac:dyDescent="0.3">
      <c r="A44" s="20">
        <f t="shared" si="13"/>
        <v>34</v>
      </c>
      <c r="B44" s="21" t="s">
        <v>279</v>
      </c>
      <c r="C44" s="21" t="s">
        <v>152</v>
      </c>
      <c r="D44" s="21" t="s">
        <v>131</v>
      </c>
      <c r="E44" s="21"/>
      <c r="F44" s="22">
        <f>IF(E44=0,,($E$9-E44)*$E$7*100/$E$9)</f>
        <v>0</v>
      </c>
      <c r="G44" s="6"/>
      <c r="H44" s="7">
        <f>IF(G44=0,,($G$9-G44)*$G$7*100/$G$9)</f>
        <v>0</v>
      </c>
      <c r="I44" s="6"/>
      <c r="J44" s="7">
        <f>IF(I44=0,,($I$9-I44)*$I$7*100/$I$9)</f>
        <v>0</v>
      </c>
      <c r="K44" s="21"/>
      <c r="L44" s="22">
        <f>IF(K44=0,,($K$9-K44)*$K$7*100/$K$9)</f>
        <v>0</v>
      </c>
      <c r="M44" s="21">
        <v>31</v>
      </c>
      <c r="N44" s="22">
        <f>IF(M44=0,,($M$9-M44)*$M$7*100/$M$9)</f>
        <v>55.813953488372093</v>
      </c>
      <c r="O44" s="21"/>
      <c r="P44" s="22">
        <f>IF(O44=0,,($O$9-O44)*$O$7*100/$O$9)</f>
        <v>0</v>
      </c>
      <c r="Q44" s="6"/>
      <c r="R44" s="7">
        <f>IF(Q44=0,,($Q$9-Q44)*$Q$7*100/$Q$9)</f>
        <v>0</v>
      </c>
      <c r="S44" s="6"/>
      <c r="T44" s="7">
        <f t="shared" si="8"/>
        <v>0</v>
      </c>
      <c r="U44" s="6"/>
      <c r="V44" s="7">
        <f>IF(U44=0,,($U$9-U44)*$U$7*100/$U$9)</f>
        <v>0</v>
      </c>
      <c r="W44" s="8">
        <f t="shared" si="10"/>
        <v>55.813953488372093</v>
      </c>
      <c r="X44" s="6">
        <f t="shared" si="11"/>
        <v>34</v>
      </c>
      <c r="Y44" s="6">
        <f>COUNTA(E44,G44,I44,K44,M44,O44,U44,S44,Q44,#REF!)</f>
        <v>2</v>
      </c>
      <c r="Z44" s="16">
        <f t="shared" si="22"/>
        <v>0.25</v>
      </c>
    </row>
    <row r="45" spans="1:26" x14ac:dyDescent="0.3">
      <c r="A45" s="20">
        <f t="shared" si="13"/>
        <v>35</v>
      </c>
      <c r="B45" s="21" t="s">
        <v>632</v>
      </c>
      <c r="C45" s="21" t="s">
        <v>152</v>
      </c>
      <c r="D45" s="21" t="s">
        <v>305</v>
      </c>
      <c r="E45" s="21"/>
      <c r="F45" s="22">
        <f>IF(E45=0,,($E$9-E45)*$E$7*100/$E$9)</f>
        <v>0</v>
      </c>
      <c r="G45" s="6"/>
      <c r="H45" s="7">
        <f>IF(G45=0,,($G$9-G45)*$G$7*100/$G$9)</f>
        <v>0</v>
      </c>
      <c r="I45" s="6"/>
      <c r="J45" s="7">
        <f>IF(I45=0,,($I$9-I45)*$I$7*100/$I$9)</f>
        <v>0</v>
      </c>
      <c r="K45" s="21"/>
      <c r="L45" s="22">
        <f>IF(K45=0,,($K$9-K45)*$K$7*100/$K$9)</f>
        <v>0</v>
      </c>
      <c r="M45" s="21">
        <v>34</v>
      </c>
      <c r="N45" s="22">
        <f>IF(M45=0,,($M$9-M45)*$M$7*100/$M$9)</f>
        <v>41.860465116279073</v>
      </c>
      <c r="O45" s="21"/>
      <c r="P45" s="22">
        <f>IF(O45=0,,($O$9-O45)*$O$7*100/$O$9)</f>
        <v>0</v>
      </c>
      <c r="Q45" s="6"/>
      <c r="R45" s="7">
        <f>IF(Q45=0,,($Q$9-Q45)*$Q$7*100/$Q$9)</f>
        <v>0</v>
      </c>
      <c r="S45" s="6">
        <v>22</v>
      </c>
      <c r="T45" s="7">
        <f t="shared" si="8"/>
        <v>13.043478260869565</v>
      </c>
      <c r="U45" s="6"/>
      <c r="V45" s="7">
        <f>IF(U45=0,,($U$9-U45)*$U$7*100/$U$9)</f>
        <v>0</v>
      </c>
      <c r="W45" s="8">
        <f t="shared" si="10"/>
        <v>54.903943377148636</v>
      </c>
      <c r="X45" s="6">
        <f t="shared" si="11"/>
        <v>35</v>
      </c>
      <c r="Y45" s="6">
        <f>COUNTA(E45,G45,I45,K45,M45,O45,U45,S45,Q45,#REF!)</f>
        <v>3</v>
      </c>
      <c r="Z45" s="16">
        <f t="shared" si="22"/>
        <v>0.375</v>
      </c>
    </row>
    <row r="46" spans="1:26" x14ac:dyDescent="0.3">
      <c r="A46" s="20">
        <f t="shared" si="13"/>
        <v>36</v>
      </c>
      <c r="B46" s="21" t="s">
        <v>633</v>
      </c>
      <c r="C46" s="21" t="s">
        <v>203</v>
      </c>
      <c r="D46" s="21" t="s">
        <v>305</v>
      </c>
      <c r="E46" s="21"/>
      <c r="F46" s="22">
        <f>IF(E46=0,,($E$9-E46)*$E$7*100/$E$9)</f>
        <v>0</v>
      </c>
      <c r="G46" s="6"/>
      <c r="H46" s="7">
        <f>IF(G46=0,,($G$9-G46)*$G$7*100/$G$9)</f>
        <v>0</v>
      </c>
      <c r="I46" s="6"/>
      <c r="J46" s="7">
        <f>IF(I46=0,,($I$9-I46)*$I$7*100/$I$9)</f>
        <v>0</v>
      </c>
      <c r="K46" s="21"/>
      <c r="L46" s="22">
        <f>IF(K46=0,,($K$9-K46)*$K$7*100/$K$9)</f>
        <v>0</v>
      </c>
      <c r="M46" s="21">
        <v>35</v>
      </c>
      <c r="N46" s="22">
        <f>IF(M46=0,,($M$9-M46)*$M$7*100/$M$9)</f>
        <v>37.209302325581397</v>
      </c>
      <c r="O46" s="21"/>
      <c r="P46" s="22">
        <f>IF(O46=0,,($O$9-O46)*$O$7*100/$O$9)</f>
        <v>0</v>
      </c>
      <c r="Q46" s="6">
        <v>200</v>
      </c>
      <c r="R46" s="7">
        <f>IF(Q46=0,,($Q$9-Q46)*$Q$7*100/$Q$9)</f>
        <v>14.563106796116505</v>
      </c>
      <c r="S46" s="6"/>
      <c r="T46" s="7">
        <f t="shared" si="8"/>
        <v>0</v>
      </c>
      <c r="U46" s="6"/>
      <c r="V46" s="7">
        <f>IF(U46=0,,($U$9-U46)*$U$7*100/$U$9)</f>
        <v>0</v>
      </c>
      <c r="W46" s="8">
        <f t="shared" si="10"/>
        <v>51.772409121697905</v>
      </c>
      <c r="X46" s="6">
        <f t="shared" si="11"/>
        <v>36</v>
      </c>
      <c r="Y46" s="6">
        <f>COUNTA(E46,G46,I46,K46,M46,O46,U46,S46,Q46,#REF!)</f>
        <v>3</v>
      </c>
      <c r="Z46" s="16">
        <f t="shared" si="22"/>
        <v>0.375</v>
      </c>
    </row>
    <row r="47" spans="1:26" x14ac:dyDescent="0.3">
      <c r="A47" s="20">
        <f t="shared" si="13"/>
        <v>37</v>
      </c>
      <c r="B47" s="21" t="s">
        <v>276</v>
      </c>
      <c r="C47" s="21" t="s">
        <v>277</v>
      </c>
      <c r="D47" s="21" t="s">
        <v>278</v>
      </c>
      <c r="E47" s="21"/>
      <c r="F47" s="22">
        <f>IF(E47=0,,($E$9-E47)*$E$7*100/$E$9)</f>
        <v>0</v>
      </c>
      <c r="G47" s="6"/>
      <c r="H47" s="7">
        <f>IF(G47=0,,($G$9-G47)*$G$7*100/$G$9)</f>
        <v>0</v>
      </c>
      <c r="I47" s="6"/>
      <c r="J47" s="7">
        <f>IF(I47=0,,($I$9-I47)*$I$7*100/$I$9)</f>
        <v>0</v>
      </c>
      <c r="K47" s="21"/>
      <c r="L47" s="22">
        <f>IF(K47=0,,($K$9-K47)*$K$7*100/$K$9)</f>
        <v>0</v>
      </c>
      <c r="M47" s="21">
        <v>36</v>
      </c>
      <c r="N47" s="22">
        <f>IF(M47=0,,($M$9-M47)*$M$7*100/$M$9)</f>
        <v>32.558139534883722</v>
      </c>
      <c r="O47" s="21"/>
      <c r="P47" s="22">
        <f>IF(O47=0,,($O$9-O47)*$O$7*100/$O$9)</f>
        <v>0</v>
      </c>
      <c r="Q47" s="6"/>
      <c r="R47" s="7">
        <f>IF(Q47=0,,($Q$9-Q47)*$Q$7*100/$Q$9)</f>
        <v>0</v>
      </c>
      <c r="S47" s="6"/>
      <c r="T47" s="7">
        <f t="shared" si="8"/>
        <v>0</v>
      </c>
      <c r="U47" s="6"/>
      <c r="V47" s="7">
        <f>IF(U47=0,,($U$9-U47)*$U$7*100/$U$9)</f>
        <v>0</v>
      </c>
      <c r="W47" s="8">
        <f t="shared" si="10"/>
        <v>32.558139534883722</v>
      </c>
      <c r="X47" s="6">
        <f t="shared" si="11"/>
        <v>37</v>
      </c>
      <c r="Y47" s="6"/>
      <c r="Z47" s="16"/>
    </row>
    <row r="48" spans="1:26" x14ac:dyDescent="0.3">
      <c r="A48" s="20">
        <v>38</v>
      </c>
      <c r="B48" s="21" t="s">
        <v>801</v>
      </c>
      <c r="C48" s="21" t="s">
        <v>800</v>
      </c>
      <c r="D48" s="21" t="s">
        <v>561</v>
      </c>
      <c r="E48" s="21"/>
      <c r="F48" s="22"/>
      <c r="G48" s="6"/>
      <c r="H48" s="7"/>
      <c r="I48" s="6"/>
      <c r="J48" s="7"/>
      <c r="K48" s="21"/>
      <c r="L48" s="22"/>
      <c r="M48" s="21"/>
      <c r="N48" s="22"/>
      <c r="O48" s="21"/>
      <c r="P48" s="22"/>
      <c r="Q48" s="6"/>
      <c r="R48" s="7"/>
      <c r="S48" s="6">
        <v>23</v>
      </c>
      <c r="T48" s="7">
        <f>13/2</f>
        <v>6.5</v>
      </c>
      <c r="U48" s="6"/>
      <c r="V48" s="7"/>
      <c r="W48" s="8">
        <f t="shared" si="10"/>
        <v>6.5</v>
      </c>
      <c r="X48" s="6">
        <f t="shared" si="11"/>
        <v>38</v>
      </c>
      <c r="Y48" s="6"/>
      <c r="Z48" s="16"/>
    </row>
    <row r="49" spans="1:26" x14ac:dyDescent="0.3">
      <c r="A49" s="20">
        <v>39</v>
      </c>
      <c r="B49" s="21" t="s">
        <v>636</v>
      </c>
      <c r="C49" s="21" t="s">
        <v>281</v>
      </c>
      <c r="D49" s="21" t="s">
        <v>278</v>
      </c>
      <c r="E49" s="21"/>
      <c r="F49" s="22">
        <f>IF(E49=0,,($E$9-E49)*$E$7*100/$E$9)</f>
        <v>0</v>
      </c>
      <c r="G49" s="6"/>
      <c r="H49" s="7">
        <f>IF(G49=0,,($G$9-G49)*$G$7*100/$G$9)</f>
        <v>0</v>
      </c>
      <c r="I49" s="6"/>
      <c r="J49" s="7">
        <f>IF(I49=0,,($I$9-I49)*$I$7*100/$I$9)</f>
        <v>0</v>
      </c>
      <c r="K49" s="21"/>
      <c r="L49" s="22">
        <f>IF(K49=0,,($K$9-K49)*$K$7*100/$K$9)</f>
        <v>0</v>
      </c>
      <c r="M49" s="21">
        <v>42</v>
      </c>
      <c r="N49" s="22">
        <f>IF(M49=0,,($M$9-M49)*$M$7*100/$M$9)</f>
        <v>4.6511627906976747</v>
      </c>
      <c r="O49" s="21"/>
      <c r="P49" s="22">
        <f>IF(O49=0,,($O$9-O49)*$O$7*100/$O$9)</f>
        <v>0</v>
      </c>
      <c r="Q49" s="6"/>
      <c r="R49" s="7">
        <f>IF(Q49=0,,($Q$9-Q49)*$Q$7*100/$Q$9)</f>
        <v>0</v>
      </c>
      <c r="S49" s="6"/>
      <c r="T49" s="7">
        <f>IF(S49=0,,($S$9-S49)*$S$7*100/$S$9)</f>
        <v>0</v>
      </c>
      <c r="U49" s="6"/>
      <c r="V49" s="7">
        <f>IF(U49=0,,($U$9-U49)*$U$7*100/$U$9)</f>
        <v>0</v>
      </c>
      <c r="W49" s="8">
        <f t="shared" si="10"/>
        <v>4.6511627906976747</v>
      </c>
      <c r="X49" s="6">
        <f t="shared" si="11"/>
        <v>39</v>
      </c>
      <c r="Y49" s="6"/>
      <c r="Z49" s="16"/>
    </row>
    <row r="50" spans="1:26" x14ac:dyDescent="0.3">
      <c r="A50" s="20">
        <f t="shared" si="13"/>
        <v>40</v>
      </c>
      <c r="B50" s="21" t="s">
        <v>637</v>
      </c>
      <c r="C50" s="21" t="s">
        <v>638</v>
      </c>
      <c r="D50" s="21" t="s">
        <v>131</v>
      </c>
      <c r="E50" s="21"/>
      <c r="F50" s="22">
        <f>IF(E50=0,,($E$9-E50)*$E$7*100/$E$9)</f>
        <v>0</v>
      </c>
      <c r="G50" s="6"/>
      <c r="H50" s="7">
        <f>IF(G50=0,,($G$9-G50)*$G$7*100/$G$9)</f>
        <v>0</v>
      </c>
      <c r="I50" s="6"/>
      <c r="J50" s="7">
        <f>IF(I50=0,,($I$9-I50)*$I$7*100/$I$9)</f>
        <v>0</v>
      </c>
      <c r="K50" s="21"/>
      <c r="L50" s="22">
        <f>IF(K50=0,,($K$9-K50)*$K$7*100/$K$9)</f>
        <v>0</v>
      </c>
      <c r="M50" s="21">
        <v>43</v>
      </c>
      <c r="N50" s="22">
        <f>IF(M50=0,,($M$9-M50)*$M$7*100/$M$9)</f>
        <v>0</v>
      </c>
      <c r="O50" s="6"/>
      <c r="P50" s="7">
        <f>IF(O50=0,,($O$9-O50)*$O$7*100/$O$9)</f>
        <v>0</v>
      </c>
      <c r="Q50" s="6"/>
      <c r="R50" s="7">
        <f>IF(Q50=0,,($Q$9-Q50)*$Q$7*100/$Q$9)</f>
        <v>0</v>
      </c>
      <c r="S50" s="6"/>
      <c r="T50" s="7">
        <f>IF(S50=0,,($S$9-S50)*$S$7*100/$S$9)</f>
        <v>0</v>
      </c>
      <c r="U50" s="6"/>
      <c r="V50" s="7">
        <f>IF(U50=0,,($U$9-U50)*$U$7*100/$U$9)</f>
        <v>0</v>
      </c>
      <c r="W50" s="8">
        <f t="shared" si="10"/>
        <v>0</v>
      </c>
      <c r="X50" s="6">
        <f t="shared" si="11"/>
        <v>40</v>
      </c>
      <c r="Y50" s="6">
        <f>COUNTA(E50,G50,I50,K50,M50,O50,U50,S50,Q50,#REF!)</f>
        <v>2</v>
      </c>
      <c r="Z50" s="16">
        <f t="shared" si="22"/>
        <v>0.25</v>
      </c>
    </row>
    <row r="51" spans="1:26" x14ac:dyDescent="0.3">
      <c r="A51" s="45" t="s">
        <v>11</v>
      </c>
      <c r="B51" s="45"/>
      <c r="C51" s="46"/>
      <c r="E51">
        <f>COUNTA(E11:E35)</f>
        <v>3</v>
      </c>
      <c r="G51">
        <f>COUNTA(G11:G35)</f>
        <v>19</v>
      </c>
      <c r="I51">
        <f>COUNTA(I11:I35)</f>
        <v>7</v>
      </c>
      <c r="K51">
        <f>COUNTA(K11:K35)</f>
        <v>12</v>
      </c>
      <c r="M51">
        <f>COUNTA(M11:M46)</f>
        <v>29</v>
      </c>
      <c r="O51">
        <f>COUNTA(O11:O35)</f>
        <v>15</v>
      </c>
      <c r="Q51">
        <f>COUNTA(Q11:Q35)</f>
        <v>12</v>
      </c>
      <c r="S51">
        <f>COUNTA(U11:U35)</f>
        <v>9</v>
      </c>
      <c r="U51">
        <f>COUNTA(S11:S35)</f>
        <v>20</v>
      </c>
    </row>
    <row r="52" spans="1:26" x14ac:dyDescent="0.3">
      <c r="A52" s="55" t="s">
        <v>21</v>
      </c>
      <c r="B52" s="55"/>
      <c r="C52" s="55"/>
      <c r="E52" s="15">
        <f>E51/$G$2</f>
        <v>0.12</v>
      </c>
      <c r="G52" s="15">
        <f>G51/$G$2</f>
        <v>0.76</v>
      </c>
      <c r="I52" s="15">
        <f>I51/$G$2</f>
        <v>0.28000000000000003</v>
      </c>
      <c r="K52" s="15">
        <f>K51/$G$2</f>
        <v>0.48</v>
      </c>
      <c r="M52" s="15">
        <f>M51/$G$2</f>
        <v>1.1599999999999999</v>
      </c>
      <c r="O52" s="15">
        <f>O51/$G$2</f>
        <v>0.6</v>
      </c>
      <c r="Q52" s="15">
        <f>Q51/$G$2</f>
        <v>0.48</v>
      </c>
      <c r="S52" s="15">
        <f>S51/$G$2</f>
        <v>0.36</v>
      </c>
      <c r="U52" s="15">
        <f>U51/$G$2</f>
        <v>0.8</v>
      </c>
    </row>
  </sheetData>
  <sortState xmlns:xlrd2="http://schemas.microsoft.com/office/spreadsheetml/2017/richdata2" ref="B11:W50">
    <sortCondition descending="1" ref="W11:W50"/>
  </sortState>
  <mergeCells count="41">
    <mergeCell ref="A1:H1"/>
    <mergeCell ref="E2:F2"/>
    <mergeCell ref="E3:F3"/>
    <mergeCell ref="E6:F6"/>
    <mergeCell ref="G6:H6"/>
    <mergeCell ref="Q6:R6"/>
    <mergeCell ref="S6:T6"/>
    <mergeCell ref="E7:F7"/>
    <mergeCell ref="U6:V6"/>
    <mergeCell ref="U7:V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8:V8"/>
    <mergeCell ref="U9:V9"/>
    <mergeCell ref="M9:N9"/>
    <mergeCell ref="O9:P9"/>
    <mergeCell ref="A51:C51"/>
    <mergeCell ref="M8:N8"/>
    <mergeCell ref="O8:P8"/>
    <mergeCell ref="K8:L8"/>
    <mergeCell ref="K9:L9"/>
    <mergeCell ref="S9:T9"/>
    <mergeCell ref="S8:T8"/>
    <mergeCell ref="Q8:R8"/>
    <mergeCell ref="Q9:R9"/>
    <mergeCell ref="A52:C52"/>
    <mergeCell ref="E8:F8"/>
    <mergeCell ref="G8:H8"/>
    <mergeCell ref="I8:J8"/>
    <mergeCell ref="E9:F9"/>
    <mergeCell ref="G9:H9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4"/>
  <sheetViews>
    <sheetView zoomScaleNormal="100" workbookViewId="0">
      <pane xSplit="3" ySplit="10" topLeftCell="Q11" activePane="bottomRight" state="frozenSplit"/>
      <selection activeCell="F16" sqref="F16"/>
      <selection pane="topRight" activeCell="F16" sqref="F16"/>
      <selection pane="bottomLeft" activeCell="F16" sqref="F16"/>
      <selection pane="bottomRight" activeCell="X6" sqref="X6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8.10937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44140625" customWidth="1"/>
    <col min="22" max="22" width="18.33203125" bestFit="1" customWidth="1"/>
    <col min="24" max="24" width="18.33203125" bestFit="1" customWidth="1"/>
    <col min="25" max="25" width="15.44140625" bestFit="1" customWidth="1"/>
    <col min="26" max="26" width="19.77734375" bestFit="1" customWidth="1"/>
  </cols>
  <sheetData>
    <row r="1" spans="1:26" ht="31.2" x14ac:dyDescent="0.6">
      <c r="A1" s="47" t="s">
        <v>94</v>
      </c>
      <c r="B1" s="47"/>
      <c r="C1" s="47"/>
      <c r="D1" s="47"/>
      <c r="E1" s="47"/>
      <c r="F1" s="47"/>
      <c r="G1" s="47"/>
      <c r="H1" s="47"/>
    </row>
    <row r="2" spans="1:26" x14ac:dyDescent="0.3">
      <c r="E2" s="54" t="s">
        <v>17</v>
      </c>
      <c r="F2" s="54"/>
      <c r="G2" s="14">
        <f>COUNTA(B11:B22)</f>
        <v>12</v>
      </c>
    </row>
    <row r="3" spans="1:26" x14ac:dyDescent="0.3">
      <c r="E3" s="54" t="s">
        <v>19</v>
      </c>
      <c r="F3" s="54"/>
      <c r="G3" s="14">
        <f>COUNTA(E8:V8)</f>
        <v>9</v>
      </c>
    </row>
    <row r="4" spans="1:26" x14ac:dyDescent="0.3">
      <c r="A4" s="10"/>
      <c r="B4" s="11" t="s">
        <v>14</v>
      </c>
      <c r="C4" s="3"/>
    </row>
    <row r="6" spans="1:26" x14ac:dyDescent="0.3">
      <c r="D6" s="1" t="s">
        <v>0</v>
      </c>
      <c r="E6" s="41" t="s">
        <v>95</v>
      </c>
      <c r="F6" s="41"/>
      <c r="G6" s="41" t="s">
        <v>363</v>
      </c>
      <c r="H6" s="41"/>
      <c r="I6" s="41" t="s">
        <v>473</v>
      </c>
      <c r="J6" s="41"/>
      <c r="K6" s="41" t="s">
        <v>639</v>
      </c>
      <c r="L6" s="41"/>
      <c r="M6" s="41" t="s">
        <v>97</v>
      </c>
      <c r="N6" s="41"/>
      <c r="O6" s="41" t="s">
        <v>98</v>
      </c>
      <c r="P6" s="41"/>
      <c r="Q6" s="41" t="s">
        <v>99</v>
      </c>
      <c r="R6" s="41"/>
      <c r="S6" s="41" t="s">
        <v>857</v>
      </c>
      <c r="T6" s="41"/>
      <c r="U6" s="41" t="s">
        <v>101</v>
      </c>
      <c r="V6" s="41"/>
    </row>
    <row r="7" spans="1:26" x14ac:dyDescent="0.3">
      <c r="D7" s="1" t="s">
        <v>10</v>
      </c>
      <c r="E7" s="42">
        <v>5</v>
      </c>
      <c r="F7" s="43"/>
      <c r="G7" s="42">
        <v>3</v>
      </c>
      <c r="H7" s="43"/>
      <c r="I7" s="42">
        <v>3</v>
      </c>
      <c r="J7" s="43"/>
      <c r="K7" s="42">
        <v>3</v>
      </c>
      <c r="L7" s="43"/>
      <c r="M7" s="42">
        <v>5</v>
      </c>
      <c r="N7" s="43"/>
      <c r="O7" s="42">
        <v>4</v>
      </c>
      <c r="P7" s="43"/>
      <c r="Q7" s="42">
        <v>5</v>
      </c>
      <c r="R7" s="43"/>
      <c r="S7" s="42">
        <v>5</v>
      </c>
      <c r="T7" s="43"/>
      <c r="U7" s="42">
        <v>6</v>
      </c>
      <c r="V7" s="43"/>
    </row>
    <row r="8" spans="1:26" x14ac:dyDescent="0.3">
      <c r="D8" s="1" t="s">
        <v>1</v>
      </c>
      <c r="E8" s="44" t="s">
        <v>96</v>
      </c>
      <c r="F8" s="44"/>
      <c r="G8" s="44">
        <v>45226</v>
      </c>
      <c r="H8" s="44"/>
      <c r="I8" s="44">
        <v>45249</v>
      </c>
      <c r="J8" s="44"/>
      <c r="K8" s="44">
        <v>45277</v>
      </c>
      <c r="L8" s="44"/>
      <c r="M8" s="44" t="s">
        <v>40</v>
      </c>
      <c r="N8" s="44"/>
      <c r="O8" s="44" t="s">
        <v>89</v>
      </c>
      <c r="P8" s="44"/>
      <c r="Q8" s="44" t="s">
        <v>100</v>
      </c>
      <c r="R8" s="44"/>
      <c r="S8" s="44">
        <v>45416</v>
      </c>
      <c r="T8" s="44"/>
      <c r="U8" s="44" t="s">
        <v>32</v>
      </c>
      <c r="V8" s="44"/>
      <c r="Y8" s="14"/>
    </row>
    <row r="9" spans="1:26" x14ac:dyDescent="0.3">
      <c r="D9" s="1" t="s">
        <v>2</v>
      </c>
      <c r="E9" s="41">
        <v>144</v>
      </c>
      <c r="F9" s="41"/>
      <c r="G9" s="41">
        <v>23</v>
      </c>
      <c r="H9" s="41"/>
      <c r="I9" s="41">
        <v>17</v>
      </c>
      <c r="J9" s="41"/>
      <c r="K9" s="41">
        <v>12</v>
      </c>
      <c r="L9" s="41"/>
      <c r="M9" s="41">
        <v>169</v>
      </c>
      <c r="N9" s="41"/>
      <c r="O9" s="41">
        <v>8</v>
      </c>
      <c r="P9" s="41"/>
      <c r="Q9" s="41">
        <v>155</v>
      </c>
      <c r="R9" s="41"/>
      <c r="S9" s="41">
        <v>127</v>
      </c>
      <c r="T9" s="41"/>
      <c r="U9" s="41">
        <v>94</v>
      </c>
      <c r="V9" s="41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20</v>
      </c>
      <c r="Z10" s="1" t="s">
        <v>22</v>
      </c>
    </row>
    <row r="11" spans="1:26" x14ac:dyDescent="0.3">
      <c r="A11" s="19">
        <f t="shared" ref="A11:A20" si="0">X11</f>
        <v>1</v>
      </c>
      <c r="B11" s="13" t="s">
        <v>124</v>
      </c>
      <c r="C11" s="13" t="s">
        <v>125</v>
      </c>
      <c r="D11" s="13" t="s">
        <v>316</v>
      </c>
      <c r="E11" s="38">
        <v>21</v>
      </c>
      <c r="F11" s="23">
        <f t="shared" ref="F11:F21" si="1">IF(E11=0,,($E$9-E11)*$E$7*100/$E$9)</f>
        <v>427.08333333333331</v>
      </c>
      <c r="G11" s="13">
        <v>3</v>
      </c>
      <c r="H11" s="23">
        <f t="shared" ref="H11:H21" si="2">IF(G11=0,,($G$9-G11)*$G$7*100/$G$9)</f>
        <v>260.86956521739131</v>
      </c>
      <c r="I11" s="6">
        <v>1</v>
      </c>
      <c r="J11" s="7">
        <f>IF(I11=0,,($I$9-I11)*$I$7*100/$I$9)</f>
        <v>282.35294117647061</v>
      </c>
      <c r="K11" s="21">
        <v>1</v>
      </c>
      <c r="L11" s="7">
        <f t="shared" ref="L11:L22" si="3">IF(K11=0,,($K$9-K11)*$K$7*100/$K$9)</f>
        <v>275</v>
      </c>
      <c r="M11" s="38">
        <v>30</v>
      </c>
      <c r="N11" s="39">
        <f t="shared" ref="N11:N22" si="4">IF(M11=0,,($M$9-M11)*$M$7*100/$M$9)</f>
        <v>411.24260355029588</v>
      </c>
      <c r="O11" s="31">
        <v>3</v>
      </c>
      <c r="P11" s="7">
        <f t="shared" ref="P11:P18" si="5">IF(O11=0,,($O$9-O11)*$O$7*100/$O$9)</f>
        <v>250</v>
      </c>
      <c r="Q11" s="31">
        <v>3</v>
      </c>
      <c r="R11" s="7">
        <f t="shared" ref="R11:R22" si="6">IF(Q11=0,,($Q$9-Q11)*$Q$7*100/$Q$9)</f>
        <v>490.32258064516128</v>
      </c>
      <c r="S11" s="6">
        <v>82</v>
      </c>
      <c r="T11" s="7">
        <f t="shared" ref="T11:T22" si="7">IF(S11=0,,($S$9-S11)*$S$7*100/$S$9)</f>
        <v>177.16535433070865</v>
      </c>
      <c r="U11" s="6">
        <v>18</v>
      </c>
      <c r="V11" s="7">
        <f>IF(U11=0,,($U$9-U11)*$U$7*100/$U$9)</f>
        <v>485.10638297872339</v>
      </c>
      <c r="W11" s="8">
        <f t="shared" ref="W11:W22" si="8">F11++J11+L11+P11+V11+H11+R11+N11+T11</f>
        <v>3059.1427612320845</v>
      </c>
      <c r="X11" s="6">
        <f t="shared" ref="X11:X21" si="9">ROW(B11)-10</f>
        <v>1</v>
      </c>
      <c r="Y11" s="6">
        <f>COUNTA(E11,G11,I11,K11,O11,Q11,#REF!,U11,S11)</f>
        <v>9</v>
      </c>
      <c r="Z11" s="16">
        <f t="shared" ref="Z11:Z20" si="10">Y11/$G$3</f>
        <v>1</v>
      </c>
    </row>
    <row r="12" spans="1:26" x14ac:dyDescent="0.3">
      <c r="A12" s="19">
        <f t="shared" si="0"/>
        <v>2</v>
      </c>
      <c r="B12" s="13" t="s">
        <v>244</v>
      </c>
      <c r="C12" s="13" t="s">
        <v>245</v>
      </c>
      <c r="D12" s="13" t="s">
        <v>246</v>
      </c>
      <c r="E12" s="38">
        <v>39</v>
      </c>
      <c r="F12" s="23">
        <f t="shared" si="1"/>
        <v>364.58333333333331</v>
      </c>
      <c r="G12" s="13"/>
      <c r="H12" s="23">
        <f t="shared" si="2"/>
        <v>0</v>
      </c>
      <c r="I12" s="6"/>
      <c r="J12" s="7">
        <f>IF(I12=0,,($I$9-I12)*$I$7*100/$I$9)</f>
        <v>0</v>
      </c>
      <c r="K12" s="21">
        <v>3</v>
      </c>
      <c r="L12" s="7">
        <f t="shared" si="3"/>
        <v>225</v>
      </c>
      <c r="M12" s="38">
        <v>14</v>
      </c>
      <c r="N12" s="7">
        <f t="shared" si="4"/>
        <v>458.57988165680473</v>
      </c>
      <c r="O12" s="31">
        <v>2</v>
      </c>
      <c r="P12" s="7">
        <f t="shared" si="5"/>
        <v>300</v>
      </c>
      <c r="Q12" s="6">
        <v>57</v>
      </c>
      <c r="R12" s="7">
        <f t="shared" si="6"/>
        <v>316.12903225806451</v>
      </c>
      <c r="S12" s="31">
        <v>15</v>
      </c>
      <c r="T12" s="7">
        <f t="shared" si="7"/>
        <v>440.94488188976379</v>
      </c>
      <c r="U12" s="6">
        <v>22</v>
      </c>
      <c r="V12" s="7">
        <f>IF(U12=0,,($U$9-U12)*$U$7*100/$U$9)</f>
        <v>459.57446808510639</v>
      </c>
      <c r="W12" s="8">
        <f t="shared" si="8"/>
        <v>2564.8115972230726</v>
      </c>
      <c r="X12" s="6">
        <f t="shared" si="9"/>
        <v>2</v>
      </c>
      <c r="Y12" s="6">
        <f>COUNTA(E12,G12,I12,K12,O12,Q12,#REF!,U12,S12)</f>
        <v>7</v>
      </c>
      <c r="Z12" s="16">
        <f t="shared" si="10"/>
        <v>0.77777777777777779</v>
      </c>
    </row>
    <row r="13" spans="1:26" x14ac:dyDescent="0.3">
      <c r="A13" s="19">
        <f t="shared" si="0"/>
        <v>3</v>
      </c>
      <c r="B13" s="13" t="s">
        <v>241</v>
      </c>
      <c r="C13" s="13" t="s">
        <v>319</v>
      </c>
      <c r="D13" s="13" t="s">
        <v>316</v>
      </c>
      <c r="E13" s="38">
        <v>44</v>
      </c>
      <c r="F13" s="23">
        <f t="shared" si="1"/>
        <v>347.22222222222223</v>
      </c>
      <c r="G13" s="13">
        <v>11</v>
      </c>
      <c r="H13" s="23">
        <f t="shared" si="2"/>
        <v>156.52173913043478</v>
      </c>
      <c r="I13" s="6">
        <v>4</v>
      </c>
      <c r="J13" s="7">
        <f>IF(I13=0,,($I$9-I13)*$I$7*100/$I$9)</f>
        <v>229.41176470588235</v>
      </c>
      <c r="K13" s="21">
        <v>5</v>
      </c>
      <c r="L13" s="7">
        <f t="shared" si="3"/>
        <v>175</v>
      </c>
      <c r="M13" s="13">
        <v>51</v>
      </c>
      <c r="N13" s="7">
        <f t="shared" si="4"/>
        <v>349.11242603550295</v>
      </c>
      <c r="O13" s="31">
        <v>1</v>
      </c>
      <c r="P13" s="7">
        <f t="shared" si="5"/>
        <v>350</v>
      </c>
      <c r="Q13" s="31">
        <v>11</v>
      </c>
      <c r="R13" s="7">
        <f t="shared" si="6"/>
        <v>464.51612903225805</v>
      </c>
      <c r="S13" s="31">
        <v>60</v>
      </c>
      <c r="T13" s="7">
        <f t="shared" si="7"/>
        <v>263.77952755905511</v>
      </c>
      <c r="U13" s="6">
        <v>65</v>
      </c>
      <c r="V13" s="7">
        <f>IF(U13=0,,($U$9-U13)*$U$7*100/$U$9)</f>
        <v>185.10638297872342</v>
      </c>
      <c r="W13" s="8">
        <f t="shared" si="8"/>
        <v>2520.6701916640786</v>
      </c>
      <c r="X13" s="6">
        <f t="shared" si="9"/>
        <v>3</v>
      </c>
      <c r="Y13" s="6">
        <f>COUNTA(E13,G13,I13,K13,O13,Q13,#REF!,U13,S13)</f>
        <v>9</v>
      </c>
      <c r="Z13" s="16">
        <f t="shared" si="10"/>
        <v>1</v>
      </c>
    </row>
    <row r="14" spans="1:26" x14ac:dyDescent="0.3">
      <c r="A14" s="19">
        <f t="shared" si="0"/>
        <v>4</v>
      </c>
      <c r="B14" s="13" t="s">
        <v>127</v>
      </c>
      <c r="C14" s="13" t="s">
        <v>128</v>
      </c>
      <c r="D14" s="13" t="s">
        <v>316</v>
      </c>
      <c r="E14" s="38">
        <v>32</v>
      </c>
      <c r="F14" s="23">
        <f t="shared" si="1"/>
        <v>388.88888888888891</v>
      </c>
      <c r="G14" s="13">
        <v>13</v>
      </c>
      <c r="H14" s="23">
        <f t="shared" si="2"/>
        <v>130.43478260869566</v>
      </c>
      <c r="I14" s="6">
        <v>3</v>
      </c>
      <c r="J14" s="7">
        <f>IF(I14=0,,($I$9-I14)*$I$7*100/$I$9)</f>
        <v>247.05882352941177</v>
      </c>
      <c r="K14" s="21">
        <v>2</v>
      </c>
      <c r="L14" s="7">
        <f t="shared" si="3"/>
        <v>250</v>
      </c>
      <c r="M14" s="13">
        <v>95</v>
      </c>
      <c r="N14" s="7">
        <f t="shared" si="4"/>
        <v>218.93491124260356</v>
      </c>
      <c r="O14" s="31">
        <v>3</v>
      </c>
      <c r="P14" s="7">
        <f t="shared" si="5"/>
        <v>250</v>
      </c>
      <c r="Q14" s="31">
        <v>61</v>
      </c>
      <c r="R14" s="7">
        <f t="shared" si="6"/>
        <v>303.22580645161293</v>
      </c>
      <c r="S14" s="31">
        <v>56</v>
      </c>
      <c r="T14" s="7">
        <f t="shared" si="7"/>
        <v>279.5275590551181</v>
      </c>
      <c r="U14" s="6">
        <v>38</v>
      </c>
      <c r="V14" s="7">
        <f>IF(U14=0,,($U$9-U14)*$U$7*100/$U$9)</f>
        <v>357.44680851063828</v>
      </c>
      <c r="W14" s="8">
        <f t="shared" si="8"/>
        <v>2425.5175802869694</v>
      </c>
      <c r="X14" s="6">
        <f t="shared" si="9"/>
        <v>4</v>
      </c>
      <c r="Y14" s="6">
        <f>COUNTA(E14,G14,I14,K14,O14,Q14,#REF!,U14,S14)</f>
        <v>9</v>
      </c>
      <c r="Z14" s="16">
        <f t="shared" si="10"/>
        <v>1</v>
      </c>
    </row>
    <row r="15" spans="1:26" x14ac:dyDescent="0.3">
      <c r="A15" s="19">
        <f t="shared" si="0"/>
        <v>5</v>
      </c>
      <c r="B15" s="13" t="s">
        <v>317</v>
      </c>
      <c r="C15" s="13" t="s">
        <v>318</v>
      </c>
      <c r="D15" s="13" t="s">
        <v>246</v>
      </c>
      <c r="E15" s="38">
        <v>22</v>
      </c>
      <c r="F15" s="23">
        <f t="shared" si="1"/>
        <v>423.61111111111109</v>
      </c>
      <c r="G15" s="13"/>
      <c r="H15" s="23">
        <f t="shared" si="2"/>
        <v>0</v>
      </c>
      <c r="I15" s="6"/>
      <c r="J15" s="7">
        <f>IF(I15=0,,($I$9-I15)*$I$7*100/$I$9)</f>
        <v>0</v>
      </c>
      <c r="K15" s="21">
        <v>3</v>
      </c>
      <c r="L15" s="7">
        <f t="shared" si="3"/>
        <v>225</v>
      </c>
      <c r="M15" s="38">
        <v>47</v>
      </c>
      <c r="N15" s="7">
        <f t="shared" si="4"/>
        <v>360.94674556213016</v>
      </c>
      <c r="O15" s="31">
        <v>5</v>
      </c>
      <c r="P15" s="7">
        <f t="shared" si="5"/>
        <v>150</v>
      </c>
      <c r="Q15" s="31">
        <v>66</v>
      </c>
      <c r="R15" s="7">
        <f t="shared" si="6"/>
        <v>287.09677419354841</v>
      </c>
      <c r="S15" s="6">
        <v>81</v>
      </c>
      <c r="T15" s="7">
        <f t="shared" si="7"/>
        <v>181.10236220472441</v>
      </c>
      <c r="U15" s="6">
        <v>89</v>
      </c>
      <c r="V15" s="7">
        <f>IF(U15=0,,($U$9-U15)*$U$7*100/$U$9)</f>
        <v>31.914893617021278</v>
      </c>
      <c r="W15" s="8">
        <f t="shared" si="8"/>
        <v>1659.6718866885356</v>
      </c>
      <c r="X15" s="6">
        <f t="shared" si="9"/>
        <v>5</v>
      </c>
      <c r="Y15" s="6">
        <f>COUNTA(E15,G15,I15,K15,O15,Q15,#REF!,U15,S15)</f>
        <v>7</v>
      </c>
      <c r="Z15" s="16">
        <f t="shared" si="10"/>
        <v>0.77777777777777779</v>
      </c>
    </row>
    <row r="16" spans="1:26" x14ac:dyDescent="0.3">
      <c r="A16" s="19">
        <f t="shared" si="0"/>
        <v>6</v>
      </c>
      <c r="B16" s="13" t="s">
        <v>326</v>
      </c>
      <c r="C16" s="13" t="s">
        <v>327</v>
      </c>
      <c r="D16" s="13" t="s">
        <v>316</v>
      </c>
      <c r="E16" s="38">
        <v>131</v>
      </c>
      <c r="F16" s="23">
        <f t="shared" si="1"/>
        <v>45.138888888888886</v>
      </c>
      <c r="G16" s="13">
        <v>18</v>
      </c>
      <c r="H16" s="23">
        <f t="shared" si="2"/>
        <v>65.217391304347828</v>
      </c>
      <c r="I16" s="6"/>
      <c r="J16" s="7"/>
      <c r="K16" s="21">
        <v>8</v>
      </c>
      <c r="L16" s="7">
        <f t="shared" si="3"/>
        <v>100</v>
      </c>
      <c r="M16" s="38">
        <v>169</v>
      </c>
      <c r="N16" s="7">
        <f t="shared" si="4"/>
        <v>0</v>
      </c>
      <c r="O16" s="31">
        <v>6</v>
      </c>
      <c r="P16" s="7">
        <f t="shared" si="5"/>
        <v>100</v>
      </c>
      <c r="Q16" s="31">
        <v>90</v>
      </c>
      <c r="R16" s="7">
        <f t="shared" si="6"/>
        <v>209.67741935483872</v>
      </c>
      <c r="S16" s="6"/>
      <c r="T16" s="7">
        <f t="shared" si="7"/>
        <v>0</v>
      </c>
      <c r="U16" s="6"/>
      <c r="V16" s="7"/>
      <c r="W16" s="8">
        <f t="shared" si="8"/>
        <v>520.03369954807545</v>
      </c>
      <c r="X16" s="6">
        <f t="shared" si="9"/>
        <v>6</v>
      </c>
      <c r="Y16" s="6">
        <f>COUNTA(E16,G16,I16,K16,O16,Q16,#REF!,U16,S16)</f>
        <v>6</v>
      </c>
      <c r="Z16" s="16">
        <f t="shared" si="10"/>
        <v>0.66666666666666663</v>
      </c>
    </row>
    <row r="17" spans="1:26" x14ac:dyDescent="0.3">
      <c r="A17" s="19">
        <f t="shared" si="0"/>
        <v>7</v>
      </c>
      <c r="B17" s="13" t="s">
        <v>249</v>
      </c>
      <c r="C17" s="13" t="s">
        <v>250</v>
      </c>
      <c r="D17" s="13" t="s">
        <v>246</v>
      </c>
      <c r="E17" s="13"/>
      <c r="F17" s="23">
        <f t="shared" si="1"/>
        <v>0</v>
      </c>
      <c r="G17" s="13"/>
      <c r="H17" s="23">
        <f t="shared" si="2"/>
        <v>0</v>
      </c>
      <c r="I17" s="6">
        <v>12</v>
      </c>
      <c r="J17" s="7">
        <f>IF(I17=0,,($I$9-I17)*$I$7*100/$I$9)</f>
        <v>88.235294117647058</v>
      </c>
      <c r="K17" s="21">
        <v>7</v>
      </c>
      <c r="L17" s="7">
        <f t="shared" si="3"/>
        <v>125</v>
      </c>
      <c r="M17" s="38">
        <v>153</v>
      </c>
      <c r="N17" s="7">
        <f t="shared" si="4"/>
        <v>47.337278106508876</v>
      </c>
      <c r="O17" s="6"/>
      <c r="P17" s="7">
        <f t="shared" si="5"/>
        <v>0</v>
      </c>
      <c r="Q17" s="31">
        <v>127</v>
      </c>
      <c r="R17" s="7">
        <f t="shared" si="6"/>
        <v>90.322580645161295</v>
      </c>
      <c r="S17" s="31">
        <v>93</v>
      </c>
      <c r="T17" s="7">
        <f t="shared" si="7"/>
        <v>133.85826771653544</v>
      </c>
      <c r="U17" s="6"/>
      <c r="V17" s="7">
        <f>IF(U17=0,,($U$9-U17)*$U$7*100/$U$9)</f>
        <v>0</v>
      </c>
      <c r="W17" s="8">
        <f t="shared" si="8"/>
        <v>484.75342058585272</v>
      </c>
      <c r="X17" s="6">
        <f t="shared" si="9"/>
        <v>7</v>
      </c>
      <c r="Y17" s="6">
        <f>COUNTA(E17,G17,I17,K17,O17,Q17,#REF!,U17,S17)</f>
        <v>5</v>
      </c>
      <c r="Z17" s="16">
        <f t="shared" si="10"/>
        <v>0.55555555555555558</v>
      </c>
    </row>
    <row r="18" spans="1:26" x14ac:dyDescent="0.3">
      <c r="A18" s="19">
        <v>8</v>
      </c>
      <c r="B18" s="13" t="s">
        <v>320</v>
      </c>
      <c r="C18" s="13" t="s">
        <v>321</v>
      </c>
      <c r="D18" s="13" t="s">
        <v>316</v>
      </c>
      <c r="E18" s="13">
        <v>86</v>
      </c>
      <c r="F18" s="23">
        <f t="shared" si="1"/>
        <v>201.38888888888889</v>
      </c>
      <c r="G18" s="13">
        <v>16</v>
      </c>
      <c r="H18" s="23">
        <f t="shared" si="2"/>
        <v>91.304347826086953</v>
      </c>
      <c r="I18" s="6"/>
      <c r="J18" s="7">
        <f>IF(I18=0,,($I$9-I18)*$I$7*100/$I$9)</f>
        <v>0</v>
      </c>
      <c r="K18" s="21"/>
      <c r="L18" s="7">
        <f t="shared" si="3"/>
        <v>0</v>
      </c>
      <c r="M18" s="13"/>
      <c r="N18" s="7">
        <f t="shared" si="4"/>
        <v>0</v>
      </c>
      <c r="O18" s="6"/>
      <c r="P18" s="7">
        <f t="shared" si="5"/>
        <v>0</v>
      </c>
      <c r="Q18" s="6"/>
      <c r="R18" s="7">
        <f t="shared" si="6"/>
        <v>0</v>
      </c>
      <c r="S18" s="6"/>
      <c r="T18" s="7">
        <f t="shared" si="7"/>
        <v>0</v>
      </c>
      <c r="U18" s="6"/>
      <c r="V18" s="7">
        <f>IF(U18=0,,($U$9-U18)*$U$7*100/$U$9)</f>
        <v>0</v>
      </c>
      <c r="W18" s="8">
        <f t="shared" si="8"/>
        <v>292.69323671497585</v>
      </c>
      <c r="X18" s="6">
        <f t="shared" si="9"/>
        <v>8</v>
      </c>
      <c r="Y18" s="6"/>
      <c r="Z18" s="16"/>
    </row>
    <row r="19" spans="1:26" x14ac:dyDescent="0.3">
      <c r="A19" s="19">
        <v>9</v>
      </c>
      <c r="B19" s="13" t="s">
        <v>324</v>
      </c>
      <c r="C19" s="13" t="s">
        <v>325</v>
      </c>
      <c r="D19" s="13" t="s">
        <v>316</v>
      </c>
      <c r="E19" s="13">
        <v>100</v>
      </c>
      <c r="F19" s="23">
        <f t="shared" si="1"/>
        <v>152.77777777777777</v>
      </c>
      <c r="G19" s="13">
        <v>20</v>
      </c>
      <c r="H19" s="23">
        <f t="shared" si="2"/>
        <v>39.130434782608695</v>
      </c>
      <c r="I19" s="6">
        <v>15</v>
      </c>
      <c r="J19" s="7">
        <f>IF(I19=0,,($I$9-I19)*$I$7*100/$I$9)</f>
        <v>35.294117647058826</v>
      </c>
      <c r="K19" s="21"/>
      <c r="L19" s="7">
        <f t="shared" si="3"/>
        <v>0</v>
      </c>
      <c r="M19" s="13">
        <v>166</v>
      </c>
      <c r="N19" s="7">
        <f t="shared" si="4"/>
        <v>8.8757396449704142</v>
      </c>
      <c r="O19" s="6">
        <v>8</v>
      </c>
      <c r="P19" s="7">
        <f>50/2</f>
        <v>25</v>
      </c>
      <c r="Q19" s="6"/>
      <c r="R19" s="7">
        <f t="shared" si="6"/>
        <v>0</v>
      </c>
      <c r="S19" s="6">
        <v>120</v>
      </c>
      <c r="T19" s="7">
        <f t="shared" si="7"/>
        <v>27.559055118110237</v>
      </c>
      <c r="U19" s="6"/>
      <c r="V19" s="7"/>
      <c r="W19" s="8">
        <f t="shared" si="8"/>
        <v>288.63712497052592</v>
      </c>
      <c r="X19" s="6">
        <f t="shared" si="9"/>
        <v>9</v>
      </c>
      <c r="Y19" s="6"/>
      <c r="Z19" s="16"/>
    </row>
    <row r="20" spans="1:26" x14ac:dyDescent="0.3">
      <c r="A20" s="19">
        <f t="shared" si="0"/>
        <v>10</v>
      </c>
      <c r="B20" s="13" t="s">
        <v>322</v>
      </c>
      <c r="C20" s="13" t="s">
        <v>323</v>
      </c>
      <c r="D20" s="13" t="s">
        <v>246</v>
      </c>
      <c r="E20" s="13">
        <v>96</v>
      </c>
      <c r="F20" s="23">
        <f t="shared" si="1"/>
        <v>166.66666666666666</v>
      </c>
      <c r="G20" s="13"/>
      <c r="H20" s="23">
        <f t="shared" si="2"/>
        <v>0</v>
      </c>
      <c r="I20" s="6"/>
      <c r="J20" s="7">
        <f>IF(I20=0,,($I$9-I20)*$I$7*100/$I$9)</f>
        <v>0</v>
      </c>
      <c r="K20" s="21">
        <v>11</v>
      </c>
      <c r="L20" s="7">
        <f t="shared" si="3"/>
        <v>25</v>
      </c>
      <c r="M20" s="13"/>
      <c r="N20" s="7">
        <f t="shared" si="4"/>
        <v>0</v>
      </c>
      <c r="O20" s="6">
        <v>7</v>
      </c>
      <c r="P20" s="7">
        <f>IF(O20=0,,($O$9-O20)*$O$7*100/$O$9)</f>
        <v>50</v>
      </c>
      <c r="Q20" s="6"/>
      <c r="R20" s="7">
        <f t="shared" si="6"/>
        <v>0</v>
      </c>
      <c r="S20" s="6"/>
      <c r="T20" s="7">
        <f t="shared" si="7"/>
        <v>0</v>
      </c>
      <c r="U20" s="6"/>
      <c r="V20" s="7">
        <f>IF(U20=0,,($U$9-U20)*$U$7*100/$U$9)</f>
        <v>0</v>
      </c>
      <c r="W20" s="8">
        <f t="shared" si="8"/>
        <v>241.66666666666666</v>
      </c>
      <c r="X20" s="6">
        <f t="shared" si="9"/>
        <v>10</v>
      </c>
      <c r="Y20" s="6">
        <f>COUNTA(E20,G20,I20,K20,O20,Q20,#REF!,U20,S20)</f>
        <v>4</v>
      </c>
      <c r="Z20" s="16">
        <f t="shared" si="10"/>
        <v>0.44444444444444442</v>
      </c>
    </row>
    <row r="21" spans="1:26" x14ac:dyDescent="0.3">
      <c r="A21" s="19">
        <v>11</v>
      </c>
      <c r="B21" s="13" t="s">
        <v>475</v>
      </c>
      <c r="C21" s="13" t="s">
        <v>476</v>
      </c>
      <c r="D21" s="13" t="s">
        <v>316</v>
      </c>
      <c r="E21" s="13"/>
      <c r="F21" s="23">
        <f t="shared" si="1"/>
        <v>0</v>
      </c>
      <c r="G21" s="13"/>
      <c r="H21" s="23">
        <f t="shared" si="2"/>
        <v>0</v>
      </c>
      <c r="I21" s="6">
        <v>14</v>
      </c>
      <c r="J21" s="7">
        <f>IF(I21=0,,($I$9-I21)*$I$7*100/$I$9)</f>
        <v>52.941176470588232</v>
      </c>
      <c r="K21" s="21">
        <v>10</v>
      </c>
      <c r="L21" s="7">
        <f t="shared" si="3"/>
        <v>50</v>
      </c>
      <c r="M21" s="13"/>
      <c r="N21" s="7">
        <f t="shared" si="4"/>
        <v>0</v>
      </c>
      <c r="O21" s="6"/>
      <c r="P21" s="7">
        <f>IF(O21=0,,($O$9-O21)*$O$7*100/$O$9)</f>
        <v>0</v>
      </c>
      <c r="Q21" s="6"/>
      <c r="R21" s="7">
        <f t="shared" si="6"/>
        <v>0</v>
      </c>
      <c r="S21" s="6"/>
      <c r="T21" s="7">
        <f t="shared" si="7"/>
        <v>0</v>
      </c>
      <c r="U21" s="6"/>
      <c r="V21" s="7">
        <f>IF(U21=0,,($U$9-U21)*$U$7*100/$U$9)</f>
        <v>0</v>
      </c>
      <c r="W21" s="8">
        <f t="shared" si="8"/>
        <v>102.94117647058823</v>
      </c>
      <c r="X21" s="6">
        <f t="shared" si="9"/>
        <v>11</v>
      </c>
      <c r="Y21" s="6"/>
      <c r="Z21" s="16"/>
    </row>
    <row r="22" spans="1:26" x14ac:dyDescent="0.3">
      <c r="A22" s="19">
        <f t="shared" ref="A22" si="11">X22</f>
        <v>12</v>
      </c>
      <c r="B22" s="13" t="s">
        <v>247</v>
      </c>
      <c r="C22" s="13" t="s">
        <v>248</v>
      </c>
      <c r="D22" s="13" t="s">
        <v>131</v>
      </c>
      <c r="E22" s="13"/>
      <c r="F22" s="23"/>
      <c r="G22" s="13"/>
      <c r="H22" s="23"/>
      <c r="I22" s="6"/>
      <c r="J22" s="7"/>
      <c r="K22" s="21">
        <v>12</v>
      </c>
      <c r="L22" s="7">
        <f t="shared" si="3"/>
        <v>0</v>
      </c>
      <c r="M22" s="13"/>
      <c r="N22" s="7">
        <f t="shared" si="4"/>
        <v>0</v>
      </c>
      <c r="O22" s="6"/>
      <c r="P22" s="7">
        <f>IF(O22=0,,($O$9-O22)*$O$7*100/$O$9)</f>
        <v>0</v>
      </c>
      <c r="Q22" s="6"/>
      <c r="R22" s="7">
        <f t="shared" si="6"/>
        <v>0</v>
      </c>
      <c r="S22" s="6"/>
      <c r="T22" s="7">
        <f t="shared" si="7"/>
        <v>0</v>
      </c>
      <c r="U22" s="6"/>
      <c r="V22" s="7"/>
      <c r="W22" s="8">
        <f t="shared" si="8"/>
        <v>0</v>
      </c>
      <c r="X22" s="6">
        <f t="shared" ref="X22" si="12">ROW(B22)-10</f>
        <v>12</v>
      </c>
      <c r="Y22" s="6">
        <f>COUNTA(E22,G22,I22,K22,O22,Q22,#REF!,U22,S22)</f>
        <v>2</v>
      </c>
      <c r="Z22" s="16">
        <f t="shared" ref="Z22" si="13">Y22/$G$3</f>
        <v>0.22222222222222221</v>
      </c>
    </row>
    <row r="23" spans="1:26" x14ac:dyDescent="0.3">
      <c r="A23" s="56" t="s">
        <v>11</v>
      </c>
      <c r="B23" s="56"/>
      <c r="C23" s="57"/>
      <c r="D23" s="24"/>
      <c r="E23" s="24">
        <f>COUNTA(E11:E22)</f>
        <v>9</v>
      </c>
      <c r="F23" s="24"/>
      <c r="G23">
        <f>COUNTA(G11:G22)</f>
        <v>6</v>
      </c>
      <c r="I23">
        <f>COUNTA(I11:I22)</f>
        <v>6</v>
      </c>
      <c r="K23">
        <f>COUNTA(K11:K22)</f>
        <v>10</v>
      </c>
      <c r="M23">
        <f>COUNTA(M11:M22)</f>
        <v>8</v>
      </c>
      <c r="O23">
        <f>COUNTA(O11:O22)</f>
        <v>8</v>
      </c>
      <c r="Q23">
        <f>COUNTA(Q11:Q22)</f>
        <v>7</v>
      </c>
      <c r="S23">
        <f>COUNTA(S11:S22)</f>
        <v>7</v>
      </c>
      <c r="U23">
        <f>COUNTA(U11:U22)</f>
        <v>5</v>
      </c>
    </row>
    <row r="24" spans="1:26" x14ac:dyDescent="0.3">
      <c r="A24" s="55" t="s">
        <v>21</v>
      </c>
      <c r="B24" s="55"/>
      <c r="C24" s="55"/>
      <c r="E24" s="15">
        <f>E23/$G$2</f>
        <v>0.75</v>
      </c>
      <c r="G24" s="15">
        <f>G23/$G$2</f>
        <v>0.5</v>
      </c>
      <c r="I24" s="15">
        <f>I23/$G$2</f>
        <v>0.5</v>
      </c>
      <c r="K24" s="15">
        <f>K23/$G$2</f>
        <v>0.83333333333333337</v>
      </c>
      <c r="M24" s="15">
        <f>M23/$G$2</f>
        <v>0.66666666666666663</v>
      </c>
      <c r="O24" s="15">
        <f>O23/$G$2</f>
        <v>0.66666666666666663</v>
      </c>
      <c r="Q24" s="15">
        <f>Q23/$G$2</f>
        <v>0.58333333333333337</v>
      </c>
      <c r="S24" s="15">
        <f>S23/$G$2</f>
        <v>0.58333333333333337</v>
      </c>
      <c r="U24" s="15">
        <f>U23/$G$2</f>
        <v>0.41666666666666669</v>
      </c>
    </row>
  </sheetData>
  <sortState xmlns:xlrd2="http://schemas.microsoft.com/office/spreadsheetml/2017/richdata2" ref="B11:W22">
    <sortCondition descending="1" ref="W11:W22"/>
  </sortState>
  <mergeCells count="41"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A24:C24"/>
    <mergeCell ref="U9:V9"/>
    <mergeCell ref="U8:V8"/>
    <mergeCell ref="G8:H8"/>
    <mergeCell ref="K8:L8"/>
    <mergeCell ref="K9:L9"/>
    <mergeCell ref="A23:C23"/>
    <mergeCell ref="O8:P8"/>
    <mergeCell ref="O9:P9"/>
    <mergeCell ref="Q8:R8"/>
    <mergeCell ref="Q9:R9"/>
    <mergeCell ref="M8:N8"/>
    <mergeCell ref="M9:N9"/>
    <mergeCell ref="I8:J8"/>
    <mergeCell ref="S8:T8"/>
    <mergeCell ref="S9:T9"/>
    <mergeCell ref="I9:J9"/>
    <mergeCell ref="U6:V6"/>
    <mergeCell ref="K6:L6"/>
    <mergeCell ref="K7:L7"/>
    <mergeCell ref="U7:V7"/>
    <mergeCell ref="O6:P6"/>
    <mergeCell ref="O7:P7"/>
    <mergeCell ref="Q6:R6"/>
    <mergeCell ref="Q7:R7"/>
    <mergeCell ref="M6:N6"/>
    <mergeCell ref="M7:N7"/>
    <mergeCell ref="S6:T6"/>
    <mergeCell ref="S7:T7"/>
    <mergeCell ref="I6:J6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zoomScale="98" zoomScaleNormal="98" workbookViewId="0">
      <pane xSplit="5" ySplit="10" topLeftCell="R11" activePane="bottomRight" state="frozenSplit"/>
      <selection pane="topRight" activeCell="D26" sqref="D26"/>
      <selection pane="bottomLeft" activeCell="D26" sqref="D26"/>
      <selection pane="bottomRight" activeCell="W17" sqref="W17"/>
    </sheetView>
  </sheetViews>
  <sheetFormatPr baseColWidth="10" defaultRowHeight="14.4" x14ac:dyDescent="0.3"/>
  <cols>
    <col min="1" max="1" width="10.6640625" customWidth="1"/>
    <col min="2" max="2" width="20.33203125" customWidth="1"/>
    <col min="4" max="4" width="6.77734375" bestFit="1" customWidth="1"/>
    <col min="5" max="5" width="14.77734375" bestFit="1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0" width="11.44140625" customWidth="1"/>
    <col min="11" max="11" width="6.44140625" bestFit="1" customWidth="1"/>
    <col min="12" max="13" width="11.441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77734375" bestFit="1" customWidth="1"/>
    <col min="23" max="23" width="19.6640625" bestFit="1" customWidth="1"/>
  </cols>
  <sheetData>
    <row r="1" spans="1:27" ht="31.2" x14ac:dyDescent="0.6">
      <c r="A1" s="47" t="s">
        <v>102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27" x14ac:dyDescent="0.3">
      <c r="E2" s="54" t="s">
        <v>17</v>
      </c>
      <c r="F2" s="54"/>
      <c r="G2" s="14">
        <f>COUNTA(B11:B54)</f>
        <v>44</v>
      </c>
    </row>
    <row r="3" spans="1:27" x14ac:dyDescent="0.3">
      <c r="E3" s="54" t="s">
        <v>19</v>
      </c>
      <c r="F3" s="54"/>
      <c r="G3" s="14">
        <f>COUNTA(E8:W8)</f>
        <v>10</v>
      </c>
    </row>
    <row r="4" spans="1:27" x14ac:dyDescent="0.3">
      <c r="A4" s="10"/>
      <c r="B4" s="11" t="s">
        <v>14</v>
      </c>
      <c r="C4" s="3"/>
      <c r="D4" s="3"/>
    </row>
    <row r="6" spans="1:27" x14ac:dyDescent="0.3">
      <c r="E6" s="1" t="s">
        <v>0</v>
      </c>
      <c r="F6" s="41" t="s">
        <v>15</v>
      </c>
      <c r="G6" s="41"/>
      <c r="H6" s="41" t="s">
        <v>275</v>
      </c>
      <c r="I6" s="41"/>
      <c r="J6" s="41" t="s">
        <v>363</v>
      </c>
      <c r="K6" s="41"/>
      <c r="L6" s="41" t="s">
        <v>478</v>
      </c>
      <c r="M6" s="41"/>
      <c r="N6" s="41" t="s">
        <v>28</v>
      </c>
      <c r="O6" s="41"/>
      <c r="P6" s="41" t="s">
        <v>104</v>
      </c>
      <c r="Q6" s="41"/>
      <c r="R6" s="41" t="s">
        <v>772</v>
      </c>
      <c r="S6" s="41"/>
      <c r="T6" s="41" t="s">
        <v>105</v>
      </c>
      <c r="U6" s="41"/>
      <c r="V6" s="41" t="s">
        <v>29</v>
      </c>
      <c r="W6" s="41"/>
    </row>
    <row r="7" spans="1:27" x14ac:dyDescent="0.3">
      <c r="E7" s="1" t="s">
        <v>10</v>
      </c>
      <c r="F7" s="42">
        <v>2</v>
      </c>
      <c r="G7" s="43"/>
      <c r="H7" s="42">
        <v>2</v>
      </c>
      <c r="I7" s="43"/>
      <c r="J7" s="42">
        <v>2</v>
      </c>
      <c r="K7" s="43"/>
      <c r="L7" s="42">
        <v>2</v>
      </c>
      <c r="M7" s="43"/>
      <c r="N7" s="42">
        <v>3</v>
      </c>
      <c r="O7" s="43"/>
      <c r="P7" s="42">
        <v>5</v>
      </c>
      <c r="Q7" s="43"/>
      <c r="R7" s="42">
        <v>3</v>
      </c>
      <c r="S7" s="43"/>
      <c r="T7" s="42">
        <v>5</v>
      </c>
      <c r="U7" s="43"/>
      <c r="V7" s="42">
        <v>6</v>
      </c>
      <c r="W7" s="43"/>
    </row>
    <row r="8" spans="1:27" x14ac:dyDescent="0.3">
      <c r="E8" s="1" t="s">
        <v>1</v>
      </c>
      <c r="F8" s="44">
        <v>45207</v>
      </c>
      <c r="G8" s="44"/>
      <c r="H8" s="44">
        <v>45213</v>
      </c>
      <c r="I8" s="44"/>
      <c r="J8" s="44">
        <v>45226</v>
      </c>
      <c r="K8" s="44"/>
      <c r="L8" s="44">
        <v>45249</v>
      </c>
      <c r="M8" s="44"/>
      <c r="N8" s="44">
        <v>45263</v>
      </c>
      <c r="O8" s="44"/>
      <c r="P8" s="44">
        <v>45326</v>
      </c>
      <c r="Q8" s="44"/>
      <c r="R8" s="44" t="s">
        <v>727</v>
      </c>
      <c r="S8" s="44"/>
      <c r="T8" s="44" t="s">
        <v>41</v>
      </c>
      <c r="U8" s="44"/>
      <c r="V8" s="44">
        <v>45458</v>
      </c>
      <c r="W8" s="44"/>
      <c r="Z8" s="14"/>
    </row>
    <row r="9" spans="1:27" x14ac:dyDescent="0.3">
      <c r="E9" s="1" t="s">
        <v>2</v>
      </c>
      <c r="F9" s="42">
        <v>27</v>
      </c>
      <c r="G9" s="43"/>
      <c r="H9" s="42">
        <v>25</v>
      </c>
      <c r="I9" s="43"/>
      <c r="J9" s="42">
        <v>28</v>
      </c>
      <c r="K9" s="43"/>
      <c r="L9" s="42">
        <v>36</v>
      </c>
      <c r="M9" s="43"/>
      <c r="N9" s="42">
        <v>34</v>
      </c>
      <c r="O9" s="43"/>
      <c r="P9" s="42">
        <v>61</v>
      </c>
      <c r="Q9" s="43"/>
      <c r="R9" s="42">
        <v>37</v>
      </c>
      <c r="S9" s="43"/>
      <c r="T9" s="42">
        <v>231</v>
      </c>
      <c r="U9" s="43"/>
      <c r="V9" s="42">
        <v>109</v>
      </c>
      <c r="W9" s="43"/>
    </row>
    <row r="10" spans="1:27" x14ac:dyDescent="0.3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20</v>
      </c>
      <c r="AA10" s="1" t="s">
        <v>22</v>
      </c>
    </row>
    <row r="11" spans="1:27" x14ac:dyDescent="0.3">
      <c r="A11" s="20">
        <f t="shared" ref="A11:A54" si="0">Y11</f>
        <v>1</v>
      </c>
      <c r="B11" s="6" t="s">
        <v>198</v>
      </c>
      <c r="C11" s="6" t="s">
        <v>199</v>
      </c>
      <c r="D11" s="13"/>
      <c r="E11" s="6" t="s">
        <v>126</v>
      </c>
      <c r="F11" s="6">
        <v>3</v>
      </c>
      <c r="G11" s="7">
        <f t="shared" ref="G11:G47" si="1">IF(F11=0,,($F$9-F11)*$F$7*100/$F$9)</f>
        <v>177.77777777777777</v>
      </c>
      <c r="H11" s="6"/>
      <c r="I11" s="7">
        <f t="shared" ref="I11:I47" si="2">IF(H11=0,,($H$9-H11)*$H$7*100/$H$9)</f>
        <v>0</v>
      </c>
      <c r="J11" s="6">
        <v>7</v>
      </c>
      <c r="K11" s="7">
        <f t="shared" ref="K11:K33" si="3">IF(J11=0,,($J$9-J11)*$J$7*100/$J$9)</f>
        <v>150</v>
      </c>
      <c r="L11" s="6">
        <v>5</v>
      </c>
      <c r="M11" s="7">
        <f t="shared" ref="M11:M47" si="4">IF(L11=0,,($L$9-L11)*$L$7*100/$L$9)</f>
        <v>172.22222222222223</v>
      </c>
      <c r="N11" s="31">
        <v>1</v>
      </c>
      <c r="O11" s="32">
        <f t="shared" ref="O11:O46" si="5">IF(N11=0,,($N$9-N11)*$N$7*100/$N$9)</f>
        <v>291.1764705882353</v>
      </c>
      <c r="P11" s="31">
        <v>15</v>
      </c>
      <c r="Q11" s="32">
        <f t="shared" ref="Q11:Q47" si="6">IF(P11=0,,($P$9-P11)*$P$7*100/$P$9)</f>
        <v>377.04918032786884</v>
      </c>
      <c r="R11" s="36">
        <v>3</v>
      </c>
      <c r="S11" s="7">
        <f t="shared" ref="S11:S51" si="7">IF(R11=0,,($R$9-R11)*$R$7*100/$R$9)</f>
        <v>275.67567567567568</v>
      </c>
      <c r="T11" s="37">
        <v>22</v>
      </c>
      <c r="U11" s="32">
        <f t="shared" ref="U11:U47" si="8">IF(T11=0,,($T$9-T11)*$T$7*100/$T$9)</f>
        <v>452.38095238095241</v>
      </c>
      <c r="V11" s="36">
        <v>5</v>
      </c>
      <c r="W11" s="7">
        <f t="shared" ref="W11:W47" si="9">IF(V11=0,,($V$9-V11)*$V$7*100/$V$9)</f>
        <v>572.47706422018348</v>
      </c>
      <c r="X11" s="8">
        <f t="shared" ref="X11:X54" si="10">SUM(G11+I11+K11+M11+O11+Q11+S11+U11+W11)</f>
        <v>2468.7593431929158</v>
      </c>
      <c r="Y11" s="6">
        <f t="shared" ref="Y11:Y54" si="11">ROW(B11)-10</f>
        <v>1</v>
      </c>
      <c r="Z11" s="6">
        <f t="shared" ref="Z11:Z54" si="12">COUNTA(F11,H11,L11,N11,P11,T11,R11)</f>
        <v>6</v>
      </c>
      <c r="AA11" s="16">
        <f t="shared" ref="AA11:AA54" si="13">Z11/$G$3</f>
        <v>0.6</v>
      </c>
    </row>
    <row r="12" spans="1:27" x14ac:dyDescent="0.3">
      <c r="A12" s="20">
        <f t="shared" si="0"/>
        <v>2</v>
      </c>
      <c r="B12" s="6" t="s">
        <v>204</v>
      </c>
      <c r="C12" s="6" t="s">
        <v>205</v>
      </c>
      <c r="D12" s="13"/>
      <c r="E12" s="6" t="s">
        <v>126</v>
      </c>
      <c r="F12" s="6">
        <v>7</v>
      </c>
      <c r="G12" s="7">
        <f t="shared" si="1"/>
        <v>148.14814814814815</v>
      </c>
      <c r="H12" s="6"/>
      <c r="I12" s="7">
        <f t="shared" si="2"/>
        <v>0</v>
      </c>
      <c r="J12" s="6">
        <v>1</v>
      </c>
      <c r="K12" s="7">
        <f t="shared" si="3"/>
        <v>192.85714285714286</v>
      </c>
      <c r="L12" s="6">
        <v>14</v>
      </c>
      <c r="M12" s="7">
        <f t="shared" si="4"/>
        <v>122.22222222222223</v>
      </c>
      <c r="N12" s="31">
        <v>3</v>
      </c>
      <c r="O12" s="32">
        <f t="shared" si="5"/>
        <v>273.52941176470586</v>
      </c>
      <c r="P12" s="31">
        <v>17</v>
      </c>
      <c r="Q12" s="32">
        <f t="shared" si="6"/>
        <v>360.65573770491801</v>
      </c>
      <c r="R12" s="6">
        <v>5</v>
      </c>
      <c r="S12" s="7">
        <f t="shared" si="7"/>
        <v>259.45945945945948</v>
      </c>
      <c r="T12" s="31">
        <v>9</v>
      </c>
      <c r="U12" s="32">
        <f t="shared" si="8"/>
        <v>480.51948051948051</v>
      </c>
      <c r="V12" s="6">
        <v>10</v>
      </c>
      <c r="W12" s="7">
        <f t="shared" si="9"/>
        <v>544.95412844036696</v>
      </c>
      <c r="X12" s="8">
        <f t="shared" si="10"/>
        <v>2382.3457311164439</v>
      </c>
      <c r="Y12" s="6">
        <f t="shared" si="11"/>
        <v>2</v>
      </c>
      <c r="Z12" s="6">
        <f t="shared" si="12"/>
        <v>6</v>
      </c>
      <c r="AA12" s="16">
        <f t="shared" si="13"/>
        <v>0.6</v>
      </c>
    </row>
    <row r="13" spans="1:27" x14ac:dyDescent="0.3">
      <c r="A13" s="20">
        <f t="shared" si="0"/>
        <v>3</v>
      </c>
      <c r="B13" s="6" t="s">
        <v>196</v>
      </c>
      <c r="C13" s="6" t="s">
        <v>197</v>
      </c>
      <c r="D13" s="13"/>
      <c r="E13" s="6" t="s">
        <v>126</v>
      </c>
      <c r="F13" s="6">
        <v>2</v>
      </c>
      <c r="G13" s="7">
        <f t="shared" si="1"/>
        <v>185.18518518518519</v>
      </c>
      <c r="H13" s="6"/>
      <c r="I13" s="7">
        <f t="shared" si="2"/>
        <v>0</v>
      </c>
      <c r="J13" s="6"/>
      <c r="K13" s="7">
        <f t="shared" si="3"/>
        <v>0</v>
      </c>
      <c r="L13" s="6">
        <v>1</v>
      </c>
      <c r="M13" s="7">
        <f t="shared" si="4"/>
        <v>194.44444444444446</v>
      </c>
      <c r="N13" s="31">
        <v>9</v>
      </c>
      <c r="O13" s="32">
        <f t="shared" si="5"/>
        <v>220.58823529411765</v>
      </c>
      <c r="P13" s="31">
        <v>2</v>
      </c>
      <c r="Q13" s="32">
        <f t="shared" si="6"/>
        <v>483.60655737704917</v>
      </c>
      <c r="R13" s="36">
        <v>1</v>
      </c>
      <c r="S13" s="7">
        <f t="shared" si="7"/>
        <v>291.89189189189187</v>
      </c>
      <c r="T13" s="37">
        <v>7</v>
      </c>
      <c r="U13" s="32">
        <f t="shared" si="8"/>
        <v>484.84848484848487</v>
      </c>
      <c r="V13" s="36">
        <v>33</v>
      </c>
      <c r="W13" s="7">
        <f t="shared" si="9"/>
        <v>418.348623853211</v>
      </c>
      <c r="X13" s="8">
        <f t="shared" si="10"/>
        <v>2278.913422894384</v>
      </c>
      <c r="Y13" s="6">
        <f t="shared" si="11"/>
        <v>3</v>
      </c>
      <c r="Z13" s="6">
        <f t="shared" si="12"/>
        <v>6</v>
      </c>
      <c r="AA13" s="16">
        <f t="shared" si="13"/>
        <v>0.6</v>
      </c>
    </row>
    <row r="14" spans="1:27" x14ac:dyDescent="0.3">
      <c r="A14" s="20">
        <f t="shared" si="0"/>
        <v>4</v>
      </c>
      <c r="B14" s="6" t="s">
        <v>208</v>
      </c>
      <c r="C14" s="6" t="s">
        <v>209</v>
      </c>
      <c r="D14" s="13"/>
      <c r="E14" s="6" t="s">
        <v>126</v>
      </c>
      <c r="F14" s="6">
        <v>9</v>
      </c>
      <c r="G14" s="7">
        <f t="shared" si="1"/>
        <v>133.33333333333334</v>
      </c>
      <c r="H14" s="6"/>
      <c r="I14" s="7">
        <f t="shared" si="2"/>
        <v>0</v>
      </c>
      <c r="J14" s="6">
        <v>2</v>
      </c>
      <c r="K14" s="7">
        <f t="shared" si="3"/>
        <v>185.71428571428572</v>
      </c>
      <c r="L14" s="6">
        <v>17</v>
      </c>
      <c r="M14" s="7">
        <f t="shared" si="4"/>
        <v>105.55555555555556</v>
      </c>
      <c r="N14" s="31">
        <v>2</v>
      </c>
      <c r="O14" s="32">
        <f t="shared" si="5"/>
        <v>282.35294117647061</v>
      </c>
      <c r="P14" s="31">
        <v>3</v>
      </c>
      <c r="Q14" s="32">
        <f t="shared" si="6"/>
        <v>475.40983606557376</v>
      </c>
      <c r="R14" s="36">
        <v>3</v>
      </c>
      <c r="S14" s="7">
        <f t="shared" si="7"/>
        <v>275.67567567567568</v>
      </c>
      <c r="T14" s="37">
        <v>65</v>
      </c>
      <c r="U14" s="32">
        <f t="shared" si="8"/>
        <v>359.30735930735932</v>
      </c>
      <c r="V14" s="36">
        <v>36</v>
      </c>
      <c r="W14" s="7">
        <f t="shared" si="9"/>
        <v>401.83486238532112</v>
      </c>
      <c r="X14" s="8">
        <f t="shared" si="10"/>
        <v>2219.1838492135748</v>
      </c>
      <c r="Y14" s="6">
        <f t="shared" si="11"/>
        <v>4</v>
      </c>
      <c r="Z14" s="6">
        <f t="shared" si="12"/>
        <v>6</v>
      </c>
      <c r="AA14" s="16">
        <f t="shared" si="13"/>
        <v>0.6</v>
      </c>
    </row>
    <row r="15" spans="1:27" x14ac:dyDescent="0.3">
      <c r="A15" s="20">
        <f t="shared" si="0"/>
        <v>5</v>
      </c>
      <c r="B15" s="6" t="s">
        <v>206</v>
      </c>
      <c r="C15" s="6" t="s">
        <v>207</v>
      </c>
      <c r="D15" s="13"/>
      <c r="E15" s="6" t="s">
        <v>140</v>
      </c>
      <c r="F15" s="6">
        <v>8</v>
      </c>
      <c r="G15" s="7">
        <f t="shared" si="1"/>
        <v>140.74074074074073</v>
      </c>
      <c r="H15" s="6">
        <v>5</v>
      </c>
      <c r="I15" s="7">
        <f t="shared" si="2"/>
        <v>160</v>
      </c>
      <c r="J15" s="6"/>
      <c r="K15" s="7">
        <f t="shared" si="3"/>
        <v>0</v>
      </c>
      <c r="L15" s="6"/>
      <c r="M15" s="7">
        <f t="shared" si="4"/>
        <v>0</v>
      </c>
      <c r="N15" s="31">
        <v>8</v>
      </c>
      <c r="O15" s="32">
        <f t="shared" si="5"/>
        <v>229.41176470588235</v>
      </c>
      <c r="P15" s="31">
        <v>3</v>
      </c>
      <c r="Q15" s="32">
        <f t="shared" si="6"/>
        <v>475.40983606557376</v>
      </c>
      <c r="R15" s="6">
        <v>8</v>
      </c>
      <c r="S15" s="7">
        <f t="shared" si="7"/>
        <v>235.13513513513513</v>
      </c>
      <c r="T15" s="31">
        <v>43</v>
      </c>
      <c r="U15" s="32">
        <f t="shared" si="8"/>
        <v>406.92640692640691</v>
      </c>
      <c r="V15" s="6">
        <v>13</v>
      </c>
      <c r="W15" s="7">
        <f t="shared" si="9"/>
        <v>528.44036697247702</v>
      </c>
      <c r="X15" s="8">
        <f t="shared" si="10"/>
        <v>2176.064250546216</v>
      </c>
      <c r="Y15" s="6">
        <f t="shared" si="11"/>
        <v>5</v>
      </c>
      <c r="Z15" s="6">
        <f t="shared" si="12"/>
        <v>6</v>
      </c>
      <c r="AA15" s="16">
        <f t="shared" si="13"/>
        <v>0.6</v>
      </c>
    </row>
    <row r="16" spans="1:27" x14ac:dyDescent="0.3">
      <c r="A16" s="20">
        <f t="shared" si="0"/>
        <v>6</v>
      </c>
      <c r="B16" s="6" t="s">
        <v>194</v>
      </c>
      <c r="C16" s="6" t="s">
        <v>195</v>
      </c>
      <c r="D16" s="13"/>
      <c r="E16" s="6" t="s">
        <v>164</v>
      </c>
      <c r="F16" s="6">
        <v>1</v>
      </c>
      <c r="G16" s="7">
        <f t="shared" si="1"/>
        <v>192.59259259259258</v>
      </c>
      <c r="H16" s="6"/>
      <c r="I16" s="7">
        <f t="shared" si="2"/>
        <v>0</v>
      </c>
      <c r="J16" s="6"/>
      <c r="K16" s="7">
        <f t="shared" si="3"/>
        <v>0</v>
      </c>
      <c r="L16" s="6">
        <v>12</v>
      </c>
      <c r="M16" s="7">
        <f t="shared" si="4"/>
        <v>133.33333333333334</v>
      </c>
      <c r="N16" s="31">
        <v>11</v>
      </c>
      <c r="O16" s="32">
        <f t="shared" si="5"/>
        <v>202.94117647058823</v>
      </c>
      <c r="P16" s="31">
        <v>9</v>
      </c>
      <c r="Q16" s="32">
        <f t="shared" si="6"/>
        <v>426.22950819672133</v>
      </c>
      <c r="R16" s="36">
        <v>10</v>
      </c>
      <c r="S16" s="7">
        <f t="shared" si="7"/>
        <v>218.91891891891891</v>
      </c>
      <c r="T16" s="37">
        <v>25</v>
      </c>
      <c r="U16" s="32">
        <f t="shared" si="8"/>
        <v>445.88744588744589</v>
      </c>
      <c r="V16" s="36">
        <v>9</v>
      </c>
      <c r="W16" s="7">
        <f t="shared" si="9"/>
        <v>550.45871559633031</v>
      </c>
      <c r="X16" s="8">
        <f t="shared" si="10"/>
        <v>2170.3616909959305</v>
      </c>
      <c r="Y16" s="6">
        <f t="shared" si="11"/>
        <v>6</v>
      </c>
      <c r="Z16" s="6">
        <f t="shared" si="12"/>
        <v>6</v>
      </c>
      <c r="AA16" s="16">
        <f t="shared" si="13"/>
        <v>0.6</v>
      </c>
    </row>
    <row r="17" spans="1:27" x14ac:dyDescent="0.3">
      <c r="A17" s="20">
        <f t="shared" si="0"/>
        <v>7</v>
      </c>
      <c r="B17" s="6" t="s">
        <v>210</v>
      </c>
      <c r="C17" s="6" t="s">
        <v>211</v>
      </c>
      <c r="D17" s="13"/>
      <c r="E17" s="6" t="s">
        <v>164</v>
      </c>
      <c r="F17" s="6">
        <v>10</v>
      </c>
      <c r="G17" s="7">
        <f t="shared" si="1"/>
        <v>125.92592592592592</v>
      </c>
      <c r="H17" s="6"/>
      <c r="I17" s="7">
        <f t="shared" si="2"/>
        <v>0</v>
      </c>
      <c r="J17" s="6">
        <v>16</v>
      </c>
      <c r="K17" s="7">
        <f t="shared" si="3"/>
        <v>85.714285714285708</v>
      </c>
      <c r="L17" s="6">
        <v>4</v>
      </c>
      <c r="M17" s="7">
        <f t="shared" si="4"/>
        <v>177.77777777777777</v>
      </c>
      <c r="N17" s="31">
        <v>3</v>
      </c>
      <c r="O17" s="32">
        <f t="shared" si="5"/>
        <v>273.52941176470586</v>
      </c>
      <c r="P17" s="31">
        <v>6</v>
      </c>
      <c r="Q17" s="32">
        <f t="shared" si="6"/>
        <v>450.81967213114751</v>
      </c>
      <c r="R17" s="6">
        <v>9</v>
      </c>
      <c r="S17" s="7">
        <f t="shared" si="7"/>
        <v>227.02702702702703</v>
      </c>
      <c r="T17" s="31">
        <v>130</v>
      </c>
      <c r="U17" s="32">
        <f t="shared" si="8"/>
        <v>218.61471861471861</v>
      </c>
      <c r="V17" s="6">
        <v>34</v>
      </c>
      <c r="W17" s="7">
        <f t="shared" si="9"/>
        <v>412.8440366972477</v>
      </c>
      <c r="X17" s="8">
        <f t="shared" si="10"/>
        <v>1972.2528556528364</v>
      </c>
      <c r="Y17" s="6">
        <f t="shared" si="11"/>
        <v>7</v>
      </c>
      <c r="Z17" s="6">
        <f t="shared" si="12"/>
        <v>6</v>
      </c>
      <c r="AA17" s="16">
        <f t="shared" si="13"/>
        <v>0.6</v>
      </c>
    </row>
    <row r="18" spans="1:27" x14ac:dyDescent="0.3">
      <c r="A18" s="20">
        <f t="shared" si="0"/>
        <v>8</v>
      </c>
      <c r="B18" s="6" t="s">
        <v>200</v>
      </c>
      <c r="C18" s="6" t="s">
        <v>201</v>
      </c>
      <c r="D18" s="13"/>
      <c r="E18" s="6" t="s">
        <v>140</v>
      </c>
      <c r="F18" s="6">
        <v>5</v>
      </c>
      <c r="G18" s="7">
        <f t="shared" si="1"/>
        <v>162.96296296296296</v>
      </c>
      <c r="H18" s="6">
        <v>2</v>
      </c>
      <c r="I18" s="7">
        <f t="shared" si="2"/>
        <v>184</v>
      </c>
      <c r="J18" s="6"/>
      <c r="K18" s="7">
        <f t="shared" si="3"/>
        <v>0</v>
      </c>
      <c r="L18" s="6"/>
      <c r="M18" s="7">
        <f t="shared" si="4"/>
        <v>0</v>
      </c>
      <c r="N18" s="31">
        <v>15</v>
      </c>
      <c r="O18" s="32">
        <f t="shared" si="5"/>
        <v>167.64705882352942</v>
      </c>
      <c r="P18" s="31">
        <v>13</v>
      </c>
      <c r="Q18" s="32">
        <f t="shared" si="6"/>
        <v>393.44262295081967</v>
      </c>
      <c r="R18" s="36">
        <v>6</v>
      </c>
      <c r="S18" s="7">
        <f t="shared" si="7"/>
        <v>251.35135135135135</v>
      </c>
      <c r="T18" s="37">
        <v>10</v>
      </c>
      <c r="U18" s="32">
        <f t="shared" si="8"/>
        <v>478.35497835497836</v>
      </c>
      <c r="V18" s="36">
        <v>66</v>
      </c>
      <c r="W18" s="7">
        <f t="shared" si="9"/>
        <v>236.69724770642202</v>
      </c>
      <c r="X18" s="8">
        <f t="shared" si="10"/>
        <v>1874.4562221500639</v>
      </c>
      <c r="Y18" s="6">
        <f t="shared" si="11"/>
        <v>8</v>
      </c>
      <c r="Z18" s="6">
        <f t="shared" si="12"/>
        <v>6</v>
      </c>
      <c r="AA18" s="16">
        <f t="shared" si="13"/>
        <v>0.6</v>
      </c>
    </row>
    <row r="19" spans="1:27" x14ac:dyDescent="0.3">
      <c r="A19" s="20">
        <f t="shared" si="0"/>
        <v>9</v>
      </c>
      <c r="B19" s="6" t="s">
        <v>202</v>
      </c>
      <c r="C19" s="6" t="s">
        <v>203</v>
      </c>
      <c r="D19" s="13"/>
      <c r="E19" s="6" t="s">
        <v>126</v>
      </c>
      <c r="F19" s="6">
        <v>6</v>
      </c>
      <c r="G19" s="7">
        <f t="shared" si="1"/>
        <v>155.55555555555554</v>
      </c>
      <c r="H19" s="6"/>
      <c r="I19" s="7">
        <f t="shared" si="2"/>
        <v>0</v>
      </c>
      <c r="J19" s="6">
        <v>10</v>
      </c>
      <c r="K19" s="7">
        <f t="shared" si="3"/>
        <v>128.57142857142858</v>
      </c>
      <c r="L19" s="6">
        <v>9</v>
      </c>
      <c r="M19" s="7">
        <f t="shared" si="4"/>
        <v>150</v>
      </c>
      <c r="N19" s="31">
        <v>17</v>
      </c>
      <c r="O19" s="32">
        <f t="shared" si="5"/>
        <v>150</v>
      </c>
      <c r="P19" s="31">
        <v>23</v>
      </c>
      <c r="Q19" s="32">
        <f t="shared" si="6"/>
        <v>311.47540983606558</v>
      </c>
      <c r="R19" s="36">
        <v>12</v>
      </c>
      <c r="S19" s="7">
        <f t="shared" si="7"/>
        <v>202.70270270270271</v>
      </c>
      <c r="T19" s="37">
        <v>88</v>
      </c>
      <c r="U19" s="32">
        <f t="shared" si="8"/>
        <v>309.52380952380952</v>
      </c>
      <c r="V19" s="36">
        <v>72</v>
      </c>
      <c r="W19" s="7">
        <f t="shared" si="9"/>
        <v>203.6697247706422</v>
      </c>
      <c r="X19" s="8">
        <f t="shared" si="10"/>
        <v>1611.4986309602043</v>
      </c>
      <c r="Y19" s="6">
        <f t="shared" si="11"/>
        <v>9</v>
      </c>
      <c r="Z19" s="6">
        <f t="shared" si="12"/>
        <v>6</v>
      </c>
      <c r="AA19" s="16">
        <f t="shared" si="13"/>
        <v>0.6</v>
      </c>
    </row>
    <row r="20" spans="1:27" x14ac:dyDescent="0.3">
      <c r="A20" s="20">
        <f t="shared" si="0"/>
        <v>10</v>
      </c>
      <c r="B20" s="6" t="s">
        <v>214</v>
      </c>
      <c r="C20" s="6" t="s">
        <v>205</v>
      </c>
      <c r="D20" s="13"/>
      <c r="E20" s="6" t="s">
        <v>126</v>
      </c>
      <c r="F20" s="6">
        <v>12</v>
      </c>
      <c r="G20" s="7">
        <f t="shared" si="1"/>
        <v>111.11111111111111</v>
      </c>
      <c r="H20" s="6"/>
      <c r="I20" s="7">
        <f t="shared" si="2"/>
        <v>0</v>
      </c>
      <c r="J20" s="6">
        <v>12</v>
      </c>
      <c r="K20" s="7">
        <f t="shared" si="3"/>
        <v>114.28571428571429</v>
      </c>
      <c r="L20" s="6">
        <v>23</v>
      </c>
      <c r="M20" s="7">
        <f t="shared" si="4"/>
        <v>72.222222222222229</v>
      </c>
      <c r="N20" s="31">
        <v>16</v>
      </c>
      <c r="O20" s="32">
        <f t="shared" si="5"/>
        <v>158.8235294117647</v>
      </c>
      <c r="P20" s="31">
        <v>5</v>
      </c>
      <c r="Q20" s="32">
        <f t="shared" si="6"/>
        <v>459.01639344262293</v>
      </c>
      <c r="R20" s="6">
        <v>11</v>
      </c>
      <c r="S20" s="7">
        <f t="shared" si="7"/>
        <v>210.81081081081081</v>
      </c>
      <c r="T20" s="31">
        <v>136</v>
      </c>
      <c r="U20" s="32">
        <f t="shared" si="8"/>
        <v>205.62770562770564</v>
      </c>
      <c r="V20" s="6">
        <v>65</v>
      </c>
      <c r="W20" s="7">
        <f t="shared" si="9"/>
        <v>242.20183486238531</v>
      </c>
      <c r="X20" s="8">
        <f t="shared" si="10"/>
        <v>1574.0993217743371</v>
      </c>
      <c r="Y20" s="6">
        <f t="shared" si="11"/>
        <v>10</v>
      </c>
      <c r="Z20" s="6">
        <f t="shared" si="12"/>
        <v>6</v>
      </c>
      <c r="AA20" s="16">
        <f t="shared" si="13"/>
        <v>0.6</v>
      </c>
    </row>
    <row r="21" spans="1:27" x14ac:dyDescent="0.3">
      <c r="A21" s="20">
        <f t="shared" si="0"/>
        <v>11</v>
      </c>
      <c r="B21" s="6" t="s">
        <v>217</v>
      </c>
      <c r="C21" s="6" t="s">
        <v>218</v>
      </c>
      <c r="D21" s="6"/>
      <c r="E21" s="6" t="s">
        <v>164</v>
      </c>
      <c r="F21" s="6">
        <v>14</v>
      </c>
      <c r="G21" s="7">
        <f t="shared" si="1"/>
        <v>96.296296296296291</v>
      </c>
      <c r="H21" s="6"/>
      <c r="I21" s="7">
        <f t="shared" si="2"/>
        <v>0</v>
      </c>
      <c r="J21" s="6"/>
      <c r="K21" s="7">
        <f t="shared" si="3"/>
        <v>0</v>
      </c>
      <c r="L21" s="6">
        <v>3</v>
      </c>
      <c r="M21" s="7">
        <f t="shared" si="4"/>
        <v>183.33333333333334</v>
      </c>
      <c r="N21" s="31">
        <v>10</v>
      </c>
      <c r="O21" s="32">
        <f t="shared" si="5"/>
        <v>211.76470588235293</v>
      </c>
      <c r="P21" s="31">
        <v>18</v>
      </c>
      <c r="Q21" s="32">
        <f t="shared" si="6"/>
        <v>352.4590163934426</v>
      </c>
      <c r="R21" s="6">
        <v>13</v>
      </c>
      <c r="S21" s="7">
        <f t="shared" si="7"/>
        <v>194.59459459459458</v>
      </c>
      <c r="T21" s="31">
        <v>71</v>
      </c>
      <c r="U21" s="32">
        <f t="shared" si="8"/>
        <v>346.32034632034635</v>
      </c>
      <c r="V21" s="6">
        <v>90</v>
      </c>
      <c r="W21" s="7">
        <f t="shared" si="9"/>
        <v>104.58715596330275</v>
      </c>
      <c r="X21" s="8">
        <f t="shared" si="10"/>
        <v>1489.3554487836689</v>
      </c>
      <c r="Y21" s="6">
        <f t="shared" si="11"/>
        <v>11</v>
      </c>
      <c r="Z21" s="6">
        <f t="shared" si="12"/>
        <v>6</v>
      </c>
      <c r="AA21" s="16">
        <f t="shared" si="13"/>
        <v>0.6</v>
      </c>
    </row>
    <row r="22" spans="1:27" x14ac:dyDescent="0.3">
      <c r="A22" s="20">
        <f t="shared" si="0"/>
        <v>12</v>
      </c>
      <c r="B22" s="6" t="s">
        <v>221</v>
      </c>
      <c r="C22" s="6" t="s">
        <v>222</v>
      </c>
      <c r="D22" s="6"/>
      <c r="E22" s="6" t="s">
        <v>126</v>
      </c>
      <c r="F22" s="6">
        <v>17</v>
      </c>
      <c r="G22" s="7">
        <f t="shared" si="1"/>
        <v>74.074074074074076</v>
      </c>
      <c r="H22" s="6"/>
      <c r="I22" s="7">
        <f t="shared" si="2"/>
        <v>0</v>
      </c>
      <c r="J22" s="6"/>
      <c r="K22" s="7">
        <f t="shared" si="3"/>
        <v>0</v>
      </c>
      <c r="L22" s="6">
        <v>15</v>
      </c>
      <c r="M22" s="7">
        <f t="shared" si="4"/>
        <v>116.66666666666667</v>
      </c>
      <c r="N22" s="31">
        <v>6</v>
      </c>
      <c r="O22" s="32">
        <f t="shared" si="5"/>
        <v>247.05882352941177</v>
      </c>
      <c r="P22" s="31">
        <v>10</v>
      </c>
      <c r="Q22" s="32">
        <f t="shared" si="6"/>
        <v>418.03278688524591</v>
      </c>
      <c r="R22" s="6">
        <v>17</v>
      </c>
      <c r="S22" s="7">
        <f t="shared" si="7"/>
        <v>162.16216216216216</v>
      </c>
      <c r="T22" s="31">
        <v>94</v>
      </c>
      <c r="U22" s="32">
        <f t="shared" si="8"/>
        <v>296.53679653679654</v>
      </c>
      <c r="V22" s="6">
        <v>81</v>
      </c>
      <c r="W22" s="7">
        <f t="shared" si="9"/>
        <v>154.12844036697248</v>
      </c>
      <c r="X22" s="8">
        <f t="shared" si="10"/>
        <v>1468.6597502213297</v>
      </c>
      <c r="Y22" s="6">
        <f t="shared" si="11"/>
        <v>12</v>
      </c>
      <c r="Z22" s="6">
        <f t="shared" si="12"/>
        <v>6</v>
      </c>
      <c r="AA22" s="16">
        <f t="shared" si="13"/>
        <v>0.6</v>
      </c>
    </row>
    <row r="23" spans="1:27" x14ac:dyDescent="0.3">
      <c r="A23" s="20">
        <f t="shared" si="0"/>
        <v>13</v>
      </c>
      <c r="B23" s="6" t="s">
        <v>308</v>
      </c>
      <c r="C23" s="6" t="s">
        <v>211</v>
      </c>
      <c r="D23" s="6"/>
      <c r="E23" s="6" t="s">
        <v>225</v>
      </c>
      <c r="F23" s="6"/>
      <c r="G23" s="7">
        <f t="shared" si="1"/>
        <v>0</v>
      </c>
      <c r="H23" s="6"/>
      <c r="I23" s="7">
        <f t="shared" si="2"/>
        <v>0</v>
      </c>
      <c r="J23" s="6"/>
      <c r="K23" s="7">
        <f t="shared" si="3"/>
        <v>0</v>
      </c>
      <c r="L23" s="6"/>
      <c r="M23" s="7">
        <f t="shared" si="4"/>
        <v>0</v>
      </c>
      <c r="N23" s="31">
        <v>7</v>
      </c>
      <c r="O23" s="32">
        <f t="shared" si="5"/>
        <v>238.23529411764707</v>
      </c>
      <c r="P23" s="31">
        <v>11</v>
      </c>
      <c r="Q23" s="32">
        <f t="shared" si="6"/>
        <v>409.8360655737705</v>
      </c>
      <c r="R23" s="6">
        <v>3</v>
      </c>
      <c r="S23" s="7">
        <f t="shared" si="7"/>
        <v>275.67567567567568</v>
      </c>
      <c r="T23" s="31">
        <v>45</v>
      </c>
      <c r="U23" s="32">
        <f t="shared" si="8"/>
        <v>402.59740259740261</v>
      </c>
      <c r="V23" s="6"/>
      <c r="W23" s="7">
        <f t="shared" si="9"/>
        <v>0</v>
      </c>
      <c r="X23" s="8">
        <f t="shared" si="10"/>
        <v>1326.3444379644959</v>
      </c>
      <c r="Y23" s="6">
        <f t="shared" si="11"/>
        <v>13</v>
      </c>
      <c r="Z23" s="6">
        <f t="shared" si="12"/>
        <v>4</v>
      </c>
      <c r="AA23" s="16">
        <f t="shared" si="13"/>
        <v>0.4</v>
      </c>
    </row>
    <row r="24" spans="1:27" x14ac:dyDescent="0.3">
      <c r="A24" s="20">
        <f t="shared" si="0"/>
        <v>14</v>
      </c>
      <c r="B24" s="6" t="s">
        <v>219</v>
      </c>
      <c r="C24" s="6" t="s">
        <v>220</v>
      </c>
      <c r="D24" s="13"/>
      <c r="E24" s="6" t="s">
        <v>126</v>
      </c>
      <c r="F24" s="6">
        <v>15</v>
      </c>
      <c r="G24" s="7">
        <f t="shared" si="1"/>
        <v>88.888888888888886</v>
      </c>
      <c r="H24" s="6"/>
      <c r="I24" s="7">
        <f t="shared" si="2"/>
        <v>0</v>
      </c>
      <c r="J24" s="6"/>
      <c r="K24" s="7">
        <f t="shared" si="3"/>
        <v>0</v>
      </c>
      <c r="L24" s="6">
        <v>21</v>
      </c>
      <c r="M24" s="7">
        <f t="shared" si="4"/>
        <v>83.333333333333329</v>
      </c>
      <c r="N24" s="31">
        <v>5</v>
      </c>
      <c r="O24" s="32">
        <f t="shared" si="5"/>
        <v>255.88235294117646</v>
      </c>
      <c r="P24" s="31">
        <v>12</v>
      </c>
      <c r="Q24" s="32">
        <f t="shared" si="6"/>
        <v>401.63934426229508</v>
      </c>
      <c r="R24" s="6">
        <v>15</v>
      </c>
      <c r="S24" s="7">
        <f t="shared" si="7"/>
        <v>178.37837837837839</v>
      </c>
      <c r="T24" s="31">
        <v>147</v>
      </c>
      <c r="U24" s="32">
        <f t="shared" si="8"/>
        <v>181.81818181818181</v>
      </c>
      <c r="V24" s="6"/>
      <c r="W24" s="7">
        <f t="shared" si="9"/>
        <v>0</v>
      </c>
      <c r="X24" s="8">
        <f t="shared" si="10"/>
        <v>1189.9404796222539</v>
      </c>
      <c r="Y24" s="6">
        <f t="shared" si="11"/>
        <v>14</v>
      </c>
      <c r="Z24" s="6">
        <f t="shared" si="12"/>
        <v>6</v>
      </c>
      <c r="AA24" s="16">
        <f t="shared" si="13"/>
        <v>0.6</v>
      </c>
    </row>
    <row r="25" spans="1:27" x14ac:dyDescent="0.3">
      <c r="A25" s="20">
        <f t="shared" si="0"/>
        <v>15</v>
      </c>
      <c r="B25" s="6" t="s">
        <v>276</v>
      </c>
      <c r="C25" s="6" t="s">
        <v>277</v>
      </c>
      <c r="D25" s="6"/>
      <c r="E25" s="6" t="s">
        <v>278</v>
      </c>
      <c r="F25" s="6"/>
      <c r="G25" s="7">
        <f t="shared" si="1"/>
        <v>0</v>
      </c>
      <c r="H25" s="6">
        <v>3</v>
      </c>
      <c r="I25" s="7">
        <f t="shared" si="2"/>
        <v>176</v>
      </c>
      <c r="J25" s="6"/>
      <c r="K25" s="7">
        <f t="shared" si="3"/>
        <v>0</v>
      </c>
      <c r="L25" s="6"/>
      <c r="M25" s="7">
        <f t="shared" si="4"/>
        <v>0</v>
      </c>
      <c r="N25" s="31">
        <v>13</v>
      </c>
      <c r="O25" s="32">
        <f t="shared" si="5"/>
        <v>185.29411764705881</v>
      </c>
      <c r="P25" s="31">
        <v>25</v>
      </c>
      <c r="Q25" s="32">
        <f t="shared" si="6"/>
        <v>295.08196721311475</v>
      </c>
      <c r="R25" s="6">
        <v>16</v>
      </c>
      <c r="S25" s="7">
        <f t="shared" si="7"/>
        <v>170.27027027027026</v>
      </c>
      <c r="T25" s="31">
        <v>122</v>
      </c>
      <c r="U25" s="32">
        <f t="shared" si="8"/>
        <v>235.93073593073592</v>
      </c>
      <c r="V25" s="6"/>
      <c r="W25" s="7">
        <f t="shared" si="9"/>
        <v>0</v>
      </c>
      <c r="X25" s="8">
        <f t="shared" si="10"/>
        <v>1062.5770910611795</v>
      </c>
      <c r="Y25" s="6">
        <f t="shared" si="11"/>
        <v>15</v>
      </c>
      <c r="Z25" s="6">
        <f t="shared" si="12"/>
        <v>5</v>
      </c>
      <c r="AA25" s="16">
        <f t="shared" si="13"/>
        <v>0.5</v>
      </c>
    </row>
    <row r="26" spans="1:27" x14ac:dyDescent="0.3">
      <c r="A26" s="20">
        <f t="shared" si="0"/>
        <v>16</v>
      </c>
      <c r="B26" s="6" t="s">
        <v>279</v>
      </c>
      <c r="C26" s="6" t="s">
        <v>152</v>
      </c>
      <c r="D26" s="6"/>
      <c r="E26" s="6" t="s">
        <v>131</v>
      </c>
      <c r="F26" s="6"/>
      <c r="G26" s="7">
        <f t="shared" si="1"/>
        <v>0</v>
      </c>
      <c r="H26" s="6">
        <v>15</v>
      </c>
      <c r="I26" s="7">
        <f t="shared" si="2"/>
        <v>80</v>
      </c>
      <c r="J26" s="6">
        <v>14</v>
      </c>
      <c r="K26" s="7">
        <f t="shared" si="3"/>
        <v>100</v>
      </c>
      <c r="L26" s="6"/>
      <c r="M26" s="7">
        <f t="shared" si="4"/>
        <v>0</v>
      </c>
      <c r="N26" s="31">
        <v>23</v>
      </c>
      <c r="O26" s="32">
        <f t="shared" si="5"/>
        <v>97.058823529411768</v>
      </c>
      <c r="P26" s="31">
        <v>19</v>
      </c>
      <c r="Q26" s="32">
        <f t="shared" si="6"/>
        <v>344.26229508196724</v>
      </c>
      <c r="R26" s="6">
        <v>18</v>
      </c>
      <c r="S26" s="7">
        <f t="shared" si="7"/>
        <v>154.05405405405406</v>
      </c>
      <c r="T26" s="31">
        <v>153</v>
      </c>
      <c r="U26" s="32">
        <f t="shared" si="8"/>
        <v>168.83116883116884</v>
      </c>
      <c r="V26" s="6"/>
      <c r="W26" s="7">
        <f t="shared" si="9"/>
        <v>0</v>
      </c>
      <c r="X26" s="8">
        <f t="shared" si="10"/>
        <v>944.20634149660191</v>
      </c>
      <c r="Y26" s="6">
        <f t="shared" si="11"/>
        <v>16</v>
      </c>
      <c r="Z26" s="6">
        <f t="shared" si="12"/>
        <v>5</v>
      </c>
      <c r="AA26" s="16">
        <f t="shared" si="13"/>
        <v>0.5</v>
      </c>
    </row>
    <row r="27" spans="1:27" x14ac:dyDescent="0.3">
      <c r="A27" s="20">
        <f t="shared" si="0"/>
        <v>17</v>
      </c>
      <c r="B27" s="6" t="s">
        <v>230</v>
      </c>
      <c r="C27" s="6" t="s">
        <v>231</v>
      </c>
      <c r="D27" s="6"/>
      <c r="E27" s="6" t="s">
        <v>126</v>
      </c>
      <c r="F27" s="6">
        <v>23</v>
      </c>
      <c r="G27" s="7">
        <f t="shared" si="1"/>
        <v>29.62962962962963</v>
      </c>
      <c r="H27" s="6"/>
      <c r="I27" s="7">
        <f t="shared" si="2"/>
        <v>0</v>
      </c>
      <c r="J27" s="6"/>
      <c r="K27" s="7">
        <f t="shared" si="3"/>
        <v>0</v>
      </c>
      <c r="L27" s="6">
        <v>20</v>
      </c>
      <c r="M27" s="7">
        <f t="shared" si="4"/>
        <v>88.888888888888886</v>
      </c>
      <c r="N27" s="31">
        <v>18</v>
      </c>
      <c r="O27" s="32">
        <f t="shared" si="5"/>
        <v>141.1764705882353</v>
      </c>
      <c r="P27" s="31">
        <v>24</v>
      </c>
      <c r="Q27" s="32">
        <f t="shared" si="6"/>
        <v>303.27868852459017</v>
      </c>
      <c r="R27" s="6">
        <v>14</v>
      </c>
      <c r="S27" s="7">
        <f t="shared" si="7"/>
        <v>186.48648648648648</v>
      </c>
      <c r="T27" s="31">
        <v>146</v>
      </c>
      <c r="U27" s="32">
        <f t="shared" si="8"/>
        <v>183.98268398268399</v>
      </c>
      <c r="V27" s="6"/>
      <c r="W27" s="7">
        <f t="shared" si="9"/>
        <v>0</v>
      </c>
      <c r="X27" s="8">
        <f t="shared" si="10"/>
        <v>933.44284810051442</v>
      </c>
      <c r="Y27" s="6">
        <f t="shared" si="11"/>
        <v>17</v>
      </c>
      <c r="Z27" s="6">
        <f t="shared" si="12"/>
        <v>6</v>
      </c>
      <c r="AA27" s="16">
        <f t="shared" si="13"/>
        <v>0.6</v>
      </c>
    </row>
    <row r="28" spans="1:27" x14ac:dyDescent="0.3">
      <c r="A28" s="20">
        <f t="shared" si="0"/>
        <v>18</v>
      </c>
      <c r="B28" s="6" t="s">
        <v>280</v>
      </c>
      <c r="C28" s="6" t="s">
        <v>281</v>
      </c>
      <c r="D28" s="6"/>
      <c r="E28" s="6" t="s">
        <v>278</v>
      </c>
      <c r="F28" s="6"/>
      <c r="G28" s="7">
        <f t="shared" si="1"/>
        <v>0</v>
      </c>
      <c r="H28" s="6">
        <v>20</v>
      </c>
      <c r="I28" s="7">
        <f t="shared" si="2"/>
        <v>40</v>
      </c>
      <c r="J28" s="6">
        <v>17</v>
      </c>
      <c r="K28" s="7">
        <f t="shared" si="3"/>
        <v>78.571428571428569</v>
      </c>
      <c r="L28" s="6">
        <v>10</v>
      </c>
      <c r="M28" s="7">
        <f t="shared" si="4"/>
        <v>144.44444444444446</v>
      </c>
      <c r="N28" s="31">
        <v>14</v>
      </c>
      <c r="O28" s="32">
        <f t="shared" si="5"/>
        <v>176.47058823529412</v>
      </c>
      <c r="P28" s="31">
        <v>28</v>
      </c>
      <c r="Q28" s="32">
        <f t="shared" si="6"/>
        <v>270.49180327868851</v>
      </c>
      <c r="R28" s="6">
        <v>20</v>
      </c>
      <c r="S28" s="7">
        <f t="shared" si="7"/>
        <v>137.83783783783784</v>
      </c>
      <c r="T28" s="6"/>
      <c r="U28" s="7">
        <f t="shared" si="8"/>
        <v>0</v>
      </c>
      <c r="V28" s="6"/>
      <c r="W28" s="7">
        <f t="shared" si="9"/>
        <v>0</v>
      </c>
      <c r="X28" s="8">
        <f t="shared" si="10"/>
        <v>847.81610236769347</v>
      </c>
      <c r="Y28" s="6">
        <f t="shared" si="11"/>
        <v>18</v>
      </c>
      <c r="Z28" s="6">
        <f t="shared" si="12"/>
        <v>5</v>
      </c>
      <c r="AA28" s="16">
        <f t="shared" si="13"/>
        <v>0.5</v>
      </c>
    </row>
    <row r="29" spans="1:27" x14ac:dyDescent="0.3">
      <c r="A29" s="20">
        <f t="shared" si="0"/>
        <v>19</v>
      </c>
      <c r="B29" s="6" t="s">
        <v>212</v>
      </c>
      <c r="C29" s="6" t="s">
        <v>213</v>
      </c>
      <c r="D29" s="13"/>
      <c r="E29" s="6" t="s">
        <v>123</v>
      </c>
      <c r="F29" s="6">
        <v>11</v>
      </c>
      <c r="G29" s="7">
        <f t="shared" si="1"/>
        <v>118.51851851851852</v>
      </c>
      <c r="H29" s="6">
        <v>10</v>
      </c>
      <c r="I29" s="7">
        <f t="shared" si="2"/>
        <v>120</v>
      </c>
      <c r="J29" s="6"/>
      <c r="K29" s="7">
        <f t="shared" si="3"/>
        <v>0</v>
      </c>
      <c r="L29" s="6"/>
      <c r="M29" s="7">
        <f t="shared" si="4"/>
        <v>0</v>
      </c>
      <c r="N29" s="31">
        <v>12</v>
      </c>
      <c r="O29" s="32">
        <f t="shared" si="5"/>
        <v>194.11764705882354</v>
      </c>
      <c r="P29" s="31">
        <v>33</v>
      </c>
      <c r="Q29" s="32">
        <f t="shared" si="6"/>
        <v>229.50819672131146</v>
      </c>
      <c r="R29" s="6">
        <v>27</v>
      </c>
      <c r="S29" s="7">
        <f t="shared" si="7"/>
        <v>81.081081081081081</v>
      </c>
      <c r="T29" s="6"/>
      <c r="U29" s="7">
        <f t="shared" si="8"/>
        <v>0</v>
      </c>
      <c r="V29" s="6"/>
      <c r="W29" s="7">
        <f t="shared" si="9"/>
        <v>0</v>
      </c>
      <c r="X29" s="8">
        <f t="shared" si="10"/>
        <v>743.22544337973454</v>
      </c>
      <c r="Y29" s="6">
        <f t="shared" si="11"/>
        <v>19</v>
      </c>
      <c r="Z29" s="6">
        <f t="shared" si="12"/>
        <v>5</v>
      </c>
      <c r="AA29" s="16">
        <f t="shared" si="13"/>
        <v>0.5</v>
      </c>
    </row>
    <row r="30" spans="1:27" x14ac:dyDescent="0.3">
      <c r="A30" s="20">
        <f t="shared" si="0"/>
        <v>20</v>
      </c>
      <c r="B30" s="6" t="s">
        <v>228</v>
      </c>
      <c r="C30" s="6" t="s">
        <v>229</v>
      </c>
      <c r="D30" s="6"/>
      <c r="E30" s="6" t="s">
        <v>126</v>
      </c>
      <c r="F30" s="6">
        <v>21</v>
      </c>
      <c r="G30" s="7">
        <f t="shared" si="1"/>
        <v>44.444444444444443</v>
      </c>
      <c r="H30" s="6"/>
      <c r="I30" s="7">
        <f t="shared" si="2"/>
        <v>0</v>
      </c>
      <c r="J30" s="6">
        <v>21</v>
      </c>
      <c r="K30" s="7">
        <f t="shared" si="3"/>
        <v>50</v>
      </c>
      <c r="L30" s="6">
        <v>32</v>
      </c>
      <c r="M30" s="7">
        <f t="shared" si="4"/>
        <v>22.222222222222221</v>
      </c>
      <c r="N30" s="31">
        <v>19</v>
      </c>
      <c r="O30" s="32">
        <f t="shared" si="5"/>
        <v>132.35294117647058</v>
      </c>
      <c r="P30" s="31">
        <v>39</v>
      </c>
      <c r="Q30" s="32">
        <f t="shared" si="6"/>
        <v>180.32786885245901</v>
      </c>
      <c r="R30" s="6">
        <v>23</v>
      </c>
      <c r="S30" s="7">
        <f t="shared" si="7"/>
        <v>113.51351351351352</v>
      </c>
      <c r="T30" s="6"/>
      <c r="U30" s="7">
        <f t="shared" si="8"/>
        <v>0</v>
      </c>
      <c r="V30" s="6"/>
      <c r="W30" s="7">
        <f t="shared" si="9"/>
        <v>0</v>
      </c>
      <c r="X30" s="8">
        <f t="shared" si="10"/>
        <v>542.86099020910979</v>
      </c>
      <c r="Y30" s="6">
        <f t="shared" si="11"/>
        <v>20</v>
      </c>
      <c r="Z30" s="6">
        <f t="shared" si="12"/>
        <v>5</v>
      </c>
      <c r="AA30" s="16">
        <f t="shared" si="13"/>
        <v>0.5</v>
      </c>
    </row>
    <row r="31" spans="1:27" x14ac:dyDescent="0.3">
      <c r="A31" s="20">
        <f t="shared" si="0"/>
        <v>21</v>
      </c>
      <c r="B31" s="6" t="s">
        <v>223</v>
      </c>
      <c r="C31" s="6" t="s">
        <v>224</v>
      </c>
      <c r="D31" s="6"/>
      <c r="E31" s="6" t="s">
        <v>225</v>
      </c>
      <c r="F31" s="6">
        <v>18</v>
      </c>
      <c r="G31" s="7">
        <f t="shared" si="1"/>
        <v>66.666666666666671</v>
      </c>
      <c r="H31" s="6"/>
      <c r="I31" s="7">
        <f t="shared" si="2"/>
        <v>0</v>
      </c>
      <c r="J31" s="6"/>
      <c r="K31" s="7">
        <f t="shared" si="3"/>
        <v>0</v>
      </c>
      <c r="L31" s="6"/>
      <c r="M31" s="7">
        <f t="shared" si="4"/>
        <v>0</v>
      </c>
      <c r="N31" s="31">
        <v>20</v>
      </c>
      <c r="O31" s="32">
        <f t="shared" si="5"/>
        <v>123.52941176470588</v>
      </c>
      <c r="P31" s="31">
        <v>41</v>
      </c>
      <c r="Q31" s="32">
        <f t="shared" si="6"/>
        <v>163.9344262295082</v>
      </c>
      <c r="R31" s="6">
        <v>21</v>
      </c>
      <c r="S31" s="7">
        <f t="shared" si="7"/>
        <v>129.72972972972974</v>
      </c>
      <c r="T31" s="6"/>
      <c r="U31" s="7">
        <f t="shared" si="8"/>
        <v>0</v>
      </c>
      <c r="V31" s="6"/>
      <c r="W31" s="7">
        <f t="shared" si="9"/>
        <v>0</v>
      </c>
      <c r="X31" s="8">
        <f t="shared" si="10"/>
        <v>483.86023439061051</v>
      </c>
      <c r="Y31" s="6">
        <f t="shared" si="11"/>
        <v>21</v>
      </c>
      <c r="Z31" s="6">
        <f t="shared" si="12"/>
        <v>4</v>
      </c>
      <c r="AA31" s="16">
        <f t="shared" si="13"/>
        <v>0.4</v>
      </c>
    </row>
    <row r="32" spans="1:27" x14ac:dyDescent="0.3">
      <c r="A32" s="20">
        <f t="shared" si="0"/>
        <v>22</v>
      </c>
      <c r="B32" s="6" t="s">
        <v>507</v>
      </c>
      <c r="C32" s="6" t="s">
        <v>290</v>
      </c>
      <c r="D32" s="6"/>
      <c r="E32" s="6" t="s">
        <v>140</v>
      </c>
      <c r="F32" s="6"/>
      <c r="G32" s="7">
        <f t="shared" si="1"/>
        <v>0</v>
      </c>
      <c r="H32" s="6"/>
      <c r="I32" s="7">
        <f t="shared" si="2"/>
        <v>0</v>
      </c>
      <c r="J32" s="6"/>
      <c r="K32" s="7">
        <f t="shared" si="3"/>
        <v>0</v>
      </c>
      <c r="L32" s="6"/>
      <c r="M32" s="7">
        <f t="shared" si="4"/>
        <v>0</v>
      </c>
      <c r="N32" s="31">
        <v>24</v>
      </c>
      <c r="O32" s="32">
        <f t="shared" si="5"/>
        <v>88.235294117647058</v>
      </c>
      <c r="P32" s="31">
        <v>30</v>
      </c>
      <c r="Q32" s="32">
        <f t="shared" si="6"/>
        <v>254.09836065573771</v>
      </c>
      <c r="R32" s="6">
        <v>26</v>
      </c>
      <c r="S32" s="7">
        <f t="shared" si="7"/>
        <v>89.189189189189193</v>
      </c>
      <c r="T32" s="6"/>
      <c r="U32" s="7">
        <f t="shared" si="8"/>
        <v>0</v>
      </c>
      <c r="V32" s="6"/>
      <c r="W32" s="7">
        <f t="shared" si="9"/>
        <v>0</v>
      </c>
      <c r="X32" s="8">
        <f t="shared" si="10"/>
        <v>431.52284396257392</v>
      </c>
      <c r="Y32" s="6">
        <f t="shared" si="11"/>
        <v>22</v>
      </c>
      <c r="Z32" s="6">
        <f t="shared" si="12"/>
        <v>3</v>
      </c>
      <c r="AA32" s="16">
        <f t="shared" si="13"/>
        <v>0.3</v>
      </c>
    </row>
    <row r="33" spans="1:27" x14ac:dyDescent="0.3">
      <c r="A33" s="20">
        <f t="shared" si="0"/>
        <v>23</v>
      </c>
      <c r="B33" s="6" t="s">
        <v>504</v>
      </c>
      <c r="C33" s="6" t="s">
        <v>505</v>
      </c>
      <c r="D33" s="6"/>
      <c r="E33" s="6" t="s">
        <v>140</v>
      </c>
      <c r="F33" s="6"/>
      <c r="G33" s="7">
        <f t="shared" si="1"/>
        <v>0</v>
      </c>
      <c r="H33" s="6"/>
      <c r="I33" s="7">
        <f t="shared" si="2"/>
        <v>0</v>
      </c>
      <c r="J33" s="6"/>
      <c r="K33" s="7">
        <f t="shared" si="3"/>
        <v>0</v>
      </c>
      <c r="L33" s="6"/>
      <c r="M33" s="7">
        <f t="shared" si="4"/>
        <v>0</v>
      </c>
      <c r="N33" s="31">
        <v>21</v>
      </c>
      <c r="O33" s="32">
        <f t="shared" si="5"/>
        <v>114.70588235294117</v>
      </c>
      <c r="P33" s="31">
        <v>31</v>
      </c>
      <c r="Q33" s="32">
        <f t="shared" si="6"/>
        <v>245.90163934426229</v>
      </c>
      <c r="R33" s="6"/>
      <c r="S33" s="7">
        <f t="shared" si="7"/>
        <v>0</v>
      </c>
      <c r="T33" s="6"/>
      <c r="U33" s="7">
        <f t="shared" si="8"/>
        <v>0</v>
      </c>
      <c r="V33" s="6"/>
      <c r="W33" s="7">
        <f t="shared" si="9"/>
        <v>0</v>
      </c>
      <c r="X33" s="8">
        <f t="shared" si="10"/>
        <v>360.60752169720348</v>
      </c>
      <c r="Y33" s="6">
        <f t="shared" si="11"/>
        <v>23</v>
      </c>
      <c r="Z33" s="6">
        <f t="shared" si="12"/>
        <v>2</v>
      </c>
      <c r="AA33" s="16">
        <f t="shared" si="13"/>
        <v>0.2</v>
      </c>
    </row>
    <row r="34" spans="1:27" x14ac:dyDescent="0.3">
      <c r="A34" s="20">
        <f t="shared" si="0"/>
        <v>24</v>
      </c>
      <c r="B34" s="6" t="s">
        <v>510</v>
      </c>
      <c r="C34" s="6" t="s">
        <v>511</v>
      </c>
      <c r="D34" s="6"/>
      <c r="E34" s="6" t="s">
        <v>512</v>
      </c>
      <c r="F34" s="6"/>
      <c r="G34" s="7">
        <f t="shared" si="1"/>
        <v>0</v>
      </c>
      <c r="H34" s="6"/>
      <c r="I34" s="7">
        <f t="shared" si="2"/>
        <v>0</v>
      </c>
      <c r="J34" s="6"/>
      <c r="K34" s="7">
        <f>IF(J34=0,,($H$9-J34)*$H$7*100/$H$9)</f>
        <v>0</v>
      </c>
      <c r="L34" s="6"/>
      <c r="M34" s="7">
        <f t="shared" si="4"/>
        <v>0</v>
      </c>
      <c r="N34" s="31">
        <v>27</v>
      </c>
      <c r="O34" s="32">
        <f t="shared" si="5"/>
        <v>61.764705882352942</v>
      </c>
      <c r="P34" s="6"/>
      <c r="Q34" s="7">
        <f t="shared" si="6"/>
        <v>0</v>
      </c>
      <c r="R34" s="6">
        <v>7</v>
      </c>
      <c r="S34" s="7">
        <f t="shared" si="7"/>
        <v>243.24324324324326</v>
      </c>
      <c r="T34" s="6"/>
      <c r="U34" s="7">
        <f t="shared" si="8"/>
        <v>0</v>
      </c>
      <c r="V34" s="6"/>
      <c r="W34" s="7">
        <f t="shared" si="9"/>
        <v>0</v>
      </c>
      <c r="X34" s="8">
        <f t="shared" si="10"/>
        <v>305.00794912559621</v>
      </c>
      <c r="Y34" s="6">
        <f t="shared" si="11"/>
        <v>24</v>
      </c>
      <c r="Z34" s="6">
        <f t="shared" si="12"/>
        <v>2</v>
      </c>
      <c r="AA34" s="16">
        <f t="shared" si="13"/>
        <v>0.2</v>
      </c>
    </row>
    <row r="35" spans="1:27" x14ac:dyDescent="0.3">
      <c r="A35" s="20">
        <f t="shared" si="0"/>
        <v>25</v>
      </c>
      <c r="B35" s="6" t="s">
        <v>215</v>
      </c>
      <c r="C35" s="6" t="s">
        <v>216</v>
      </c>
      <c r="D35" s="13"/>
      <c r="E35" s="6" t="s">
        <v>126</v>
      </c>
      <c r="F35" s="6">
        <v>13</v>
      </c>
      <c r="G35" s="7">
        <f t="shared" si="1"/>
        <v>103.70370370370371</v>
      </c>
      <c r="H35" s="6"/>
      <c r="I35" s="7">
        <f t="shared" si="2"/>
        <v>0</v>
      </c>
      <c r="J35" s="6"/>
      <c r="K35" s="7">
        <f>IF(J35=0,,($J$9-J35)*$J$7*100/$J$9)</f>
        <v>0</v>
      </c>
      <c r="L35" s="6"/>
      <c r="M35" s="7">
        <f t="shared" si="4"/>
        <v>0</v>
      </c>
      <c r="N35" s="6"/>
      <c r="O35" s="7">
        <f t="shared" si="5"/>
        <v>0</v>
      </c>
      <c r="P35" s="31">
        <v>38</v>
      </c>
      <c r="Q35" s="32">
        <f t="shared" si="6"/>
        <v>188.52459016393442</v>
      </c>
      <c r="R35" s="17"/>
      <c r="S35" s="7">
        <f t="shared" si="7"/>
        <v>0</v>
      </c>
      <c r="T35" s="17"/>
      <c r="U35" s="7">
        <f t="shared" si="8"/>
        <v>0</v>
      </c>
      <c r="V35" s="17"/>
      <c r="W35" s="7">
        <f t="shared" si="9"/>
        <v>0</v>
      </c>
      <c r="X35" s="8">
        <f t="shared" si="10"/>
        <v>292.22829386763811</v>
      </c>
      <c r="Y35" s="6">
        <f t="shared" si="11"/>
        <v>25</v>
      </c>
      <c r="Z35" s="6">
        <f t="shared" si="12"/>
        <v>2</v>
      </c>
      <c r="AA35" s="16">
        <f t="shared" si="13"/>
        <v>0.2</v>
      </c>
    </row>
    <row r="36" spans="1:27" x14ac:dyDescent="0.3">
      <c r="A36" s="20">
        <f t="shared" si="0"/>
        <v>26</v>
      </c>
      <c r="B36" s="6" t="s">
        <v>506</v>
      </c>
      <c r="C36" s="6" t="s">
        <v>315</v>
      </c>
      <c r="D36" s="6"/>
      <c r="E36" s="6" t="s">
        <v>126</v>
      </c>
      <c r="F36" s="6"/>
      <c r="G36" s="7">
        <f t="shared" si="1"/>
        <v>0</v>
      </c>
      <c r="H36" s="6"/>
      <c r="I36" s="7">
        <f t="shared" si="2"/>
        <v>0</v>
      </c>
      <c r="J36" s="6"/>
      <c r="K36" s="7">
        <f>IF(J36=0,,($J$9-J36)*$J$7*100/$J$9)</f>
        <v>0</v>
      </c>
      <c r="L36" s="6"/>
      <c r="M36" s="7">
        <f t="shared" si="4"/>
        <v>0</v>
      </c>
      <c r="N36" s="31">
        <v>22</v>
      </c>
      <c r="O36" s="32">
        <f t="shared" si="5"/>
        <v>105.88235294117646</v>
      </c>
      <c r="P36" s="6"/>
      <c r="Q36" s="7">
        <f t="shared" si="6"/>
        <v>0</v>
      </c>
      <c r="R36" s="6">
        <v>22</v>
      </c>
      <c r="S36" s="7">
        <f t="shared" si="7"/>
        <v>121.62162162162163</v>
      </c>
      <c r="T36" s="6"/>
      <c r="U36" s="7">
        <f t="shared" si="8"/>
        <v>0</v>
      </c>
      <c r="V36" s="6"/>
      <c r="W36" s="7">
        <f t="shared" si="9"/>
        <v>0</v>
      </c>
      <c r="X36" s="8">
        <f t="shared" si="10"/>
        <v>227.50397456279808</v>
      </c>
      <c r="Y36" s="6">
        <f t="shared" si="11"/>
        <v>26</v>
      </c>
      <c r="Z36" s="6">
        <f t="shared" si="12"/>
        <v>2</v>
      </c>
      <c r="AA36" s="16">
        <f t="shared" si="13"/>
        <v>0.2</v>
      </c>
    </row>
    <row r="37" spans="1:27" x14ac:dyDescent="0.3">
      <c r="A37" s="20">
        <f t="shared" si="0"/>
        <v>27</v>
      </c>
      <c r="B37" s="6" t="s">
        <v>513</v>
      </c>
      <c r="C37" s="6" t="s">
        <v>139</v>
      </c>
      <c r="D37" s="6"/>
      <c r="E37" s="6" t="s">
        <v>278</v>
      </c>
      <c r="F37" s="6"/>
      <c r="G37" s="7">
        <f t="shared" si="1"/>
        <v>0</v>
      </c>
      <c r="H37" s="6"/>
      <c r="I37" s="7">
        <f t="shared" si="2"/>
        <v>0</v>
      </c>
      <c r="J37" s="6"/>
      <c r="K37" s="7">
        <f>IF(J37=0,,($H$9-J37)*$H$7*100/$H$9)</f>
        <v>0</v>
      </c>
      <c r="L37" s="6"/>
      <c r="M37" s="7">
        <f t="shared" si="4"/>
        <v>0</v>
      </c>
      <c r="N37" s="31">
        <v>30</v>
      </c>
      <c r="O37" s="32">
        <f t="shared" si="5"/>
        <v>35.294117647058826</v>
      </c>
      <c r="P37" s="31">
        <v>43</v>
      </c>
      <c r="Q37" s="32">
        <f t="shared" si="6"/>
        <v>147.54098360655738</v>
      </c>
      <c r="R37" s="6">
        <v>34</v>
      </c>
      <c r="S37" s="7">
        <f t="shared" si="7"/>
        <v>24.324324324324323</v>
      </c>
      <c r="T37" s="6"/>
      <c r="U37" s="7">
        <f t="shared" si="8"/>
        <v>0</v>
      </c>
      <c r="V37" s="6"/>
      <c r="W37" s="7">
        <f t="shared" si="9"/>
        <v>0</v>
      </c>
      <c r="X37" s="8">
        <f t="shared" si="10"/>
        <v>207.15942557794051</v>
      </c>
      <c r="Y37" s="6">
        <f t="shared" si="11"/>
        <v>27</v>
      </c>
      <c r="Z37" s="6">
        <f t="shared" si="12"/>
        <v>3</v>
      </c>
      <c r="AA37" s="16">
        <f t="shared" si="13"/>
        <v>0.3</v>
      </c>
    </row>
    <row r="38" spans="1:27" x14ac:dyDescent="0.3">
      <c r="A38" s="20">
        <f t="shared" si="0"/>
        <v>28</v>
      </c>
      <c r="B38" s="6" t="s">
        <v>226</v>
      </c>
      <c r="C38" s="6" t="s">
        <v>227</v>
      </c>
      <c r="D38" s="6"/>
      <c r="E38" s="6" t="s">
        <v>164</v>
      </c>
      <c r="F38" s="6">
        <v>20</v>
      </c>
      <c r="G38" s="7">
        <f t="shared" si="1"/>
        <v>51.851851851851855</v>
      </c>
      <c r="H38" s="6"/>
      <c r="I38" s="7">
        <f t="shared" si="2"/>
        <v>0</v>
      </c>
      <c r="J38" s="6"/>
      <c r="K38" s="7">
        <f>IF(J38=0,,($J$9-J38)*$J$7*100/$J$9)</f>
        <v>0</v>
      </c>
      <c r="L38" s="6"/>
      <c r="M38" s="7">
        <f t="shared" si="4"/>
        <v>0</v>
      </c>
      <c r="N38" s="6"/>
      <c r="O38" s="7">
        <f t="shared" si="5"/>
        <v>0</v>
      </c>
      <c r="P38" s="6"/>
      <c r="Q38" s="7">
        <f t="shared" si="6"/>
        <v>0</v>
      </c>
      <c r="R38" s="6">
        <v>19</v>
      </c>
      <c r="S38" s="7">
        <f t="shared" si="7"/>
        <v>145.94594594594594</v>
      </c>
      <c r="T38" s="6"/>
      <c r="U38" s="7">
        <f t="shared" si="8"/>
        <v>0</v>
      </c>
      <c r="V38" s="6"/>
      <c r="W38" s="7">
        <f t="shared" si="9"/>
        <v>0</v>
      </c>
      <c r="X38" s="8">
        <f t="shared" si="10"/>
        <v>197.79779779779778</v>
      </c>
      <c r="Y38" s="6">
        <f t="shared" si="11"/>
        <v>28</v>
      </c>
      <c r="Z38" s="6">
        <f t="shared" si="12"/>
        <v>2</v>
      </c>
      <c r="AA38" s="16">
        <f t="shared" si="13"/>
        <v>0.2</v>
      </c>
    </row>
    <row r="39" spans="1:27" x14ac:dyDescent="0.3">
      <c r="A39" s="20">
        <f t="shared" si="0"/>
        <v>29</v>
      </c>
      <c r="B39" s="6" t="s">
        <v>173</v>
      </c>
      <c r="C39" s="6" t="s">
        <v>171</v>
      </c>
      <c r="D39" s="13"/>
      <c r="E39" s="6" t="s">
        <v>185</v>
      </c>
      <c r="F39" s="6">
        <v>22</v>
      </c>
      <c r="G39" s="7">
        <f t="shared" si="1"/>
        <v>37.037037037037038</v>
      </c>
      <c r="H39" s="6"/>
      <c r="I39" s="7">
        <f t="shared" si="2"/>
        <v>0</v>
      </c>
      <c r="J39" s="6"/>
      <c r="K39" s="7">
        <f>IF(J39=0,,($J$9-J39)*$J$7*100/$J$9)</f>
        <v>0</v>
      </c>
      <c r="L39" s="6"/>
      <c r="M39" s="7">
        <f t="shared" si="4"/>
        <v>0</v>
      </c>
      <c r="N39" s="31">
        <v>26</v>
      </c>
      <c r="O39" s="32">
        <f t="shared" si="5"/>
        <v>70.588235294117652</v>
      </c>
      <c r="P39" s="6"/>
      <c r="Q39" s="7">
        <f t="shared" si="6"/>
        <v>0</v>
      </c>
      <c r="R39" s="17">
        <v>30</v>
      </c>
      <c r="S39" s="7">
        <f t="shared" si="7"/>
        <v>56.756756756756758</v>
      </c>
      <c r="T39" s="17"/>
      <c r="U39" s="7">
        <f t="shared" si="8"/>
        <v>0</v>
      </c>
      <c r="V39" s="17"/>
      <c r="W39" s="7">
        <f t="shared" si="9"/>
        <v>0</v>
      </c>
      <c r="X39" s="8">
        <f t="shared" si="10"/>
        <v>164.38202908791146</v>
      </c>
      <c r="Y39" s="6">
        <f t="shared" si="11"/>
        <v>29</v>
      </c>
      <c r="Z39" s="6">
        <f t="shared" si="12"/>
        <v>3</v>
      </c>
      <c r="AA39" s="16">
        <f t="shared" si="13"/>
        <v>0.3</v>
      </c>
    </row>
    <row r="40" spans="1:27" x14ac:dyDescent="0.3">
      <c r="A40" s="20">
        <f t="shared" si="0"/>
        <v>30</v>
      </c>
      <c r="B40" s="6" t="s">
        <v>508</v>
      </c>
      <c r="C40" s="6" t="s">
        <v>509</v>
      </c>
      <c r="D40" s="6"/>
      <c r="E40" s="6" t="s">
        <v>278</v>
      </c>
      <c r="F40" s="6"/>
      <c r="G40" s="7">
        <f t="shared" si="1"/>
        <v>0</v>
      </c>
      <c r="H40" s="6"/>
      <c r="I40" s="7">
        <f t="shared" si="2"/>
        <v>0</v>
      </c>
      <c r="J40" s="6"/>
      <c r="K40" s="7">
        <f>IF(J40=0,,($J$9-J40)*$J$7*100/$J$9)</f>
        <v>0</v>
      </c>
      <c r="L40" s="6"/>
      <c r="M40" s="7">
        <f t="shared" si="4"/>
        <v>0</v>
      </c>
      <c r="N40" s="31">
        <v>25</v>
      </c>
      <c r="O40" s="32">
        <f t="shared" si="5"/>
        <v>79.411764705882348</v>
      </c>
      <c r="P40" s="6"/>
      <c r="Q40" s="7">
        <f t="shared" si="6"/>
        <v>0</v>
      </c>
      <c r="R40" s="6">
        <v>28</v>
      </c>
      <c r="S40" s="7">
        <f t="shared" si="7"/>
        <v>72.972972972972968</v>
      </c>
      <c r="T40" s="6"/>
      <c r="U40" s="7">
        <f t="shared" si="8"/>
        <v>0</v>
      </c>
      <c r="V40" s="6"/>
      <c r="W40" s="7">
        <f t="shared" si="9"/>
        <v>0</v>
      </c>
      <c r="X40" s="8">
        <f t="shared" si="10"/>
        <v>152.38473767885532</v>
      </c>
      <c r="Y40" s="6">
        <f t="shared" si="11"/>
        <v>30</v>
      </c>
      <c r="Z40" s="6">
        <f t="shared" si="12"/>
        <v>2</v>
      </c>
      <c r="AA40" s="16">
        <f t="shared" si="13"/>
        <v>0.2</v>
      </c>
    </row>
    <row r="41" spans="1:27" x14ac:dyDescent="0.3">
      <c r="A41" s="20">
        <f t="shared" si="0"/>
        <v>31</v>
      </c>
      <c r="B41" s="6" t="s">
        <v>232</v>
      </c>
      <c r="C41" s="6" t="s">
        <v>233</v>
      </c>
      <c r="D41" s="6"/>
      <c r="E41" s="6" t="s">
        <v>185</v>
      </c>
      <c r="F41" s="6">
        <v>24</v>
      </c>
      <c r="G41" s="7">
        <f t="shared" si="1"/>
        <v>22.222222222222221</v>
      </c>
      <c r="H41" s="6"/>
      <c r="I41" s="7">
        <f t="shared" si="2"/>
        <v>0</v>
      </c>
      <c r="J41" s="6"/>
      <c r="K41" s="7">
        <f>IF(J41=0,,($J$9-J41)*$J$7*100/$J$9)</f>
        <v>0</v>
      </c>
      <c r="L41" s="6"/>
      <c r="M41" s="7">
        <f t="shared" si="4"/>
        <v>0</v>
      </c>
      <c r="N41" s="31">
        <v>29</v>
      </c>
      <c r="O41" s="32">
        <f t="shared" si="5"/>
        <v>44.117647058823529</v>
      </c>
      <c r="P41" s="6"/>
      <c r="Q41" s="7">
        <f t="shared" si="6"/>
        <v>0</v>
      </c>
      <c r="R41" s="6">
        <v>31</v>
      </c>
      <c r="S41" s="7">
        <f t="shared" si="7"/>
        <v>48.648648648648646</v>
      </c>
      <c r="T41" s="6"/>
      <c r="U41" s="7">
        <f t="shared" si="8"/>
        <v>0</v>
      </c>
      <c r="V41" s="6"/>
      <c r="W41" s="7">
        <f t="shared" si="9"/>
        <v>0</v>
      </c>
      <c r="X41" s="8">
        <f t="shared" si="10"/>
        <v>114.9885179296944</v>
      </c>
      <c r="Y41" s="6">
        <f t="shared" si="11"/>
        <v>31</v>
      </c>
      <c r="Z41" s="6">
        <f t="shared" si="12"/>
        <v>3</v>
      </c>
      <c r="AA41" s="16">
        <f t="shared" si="13"/>
        <v>0.3</v>
      </c>
    </row>
    <row r="42" spans="1:27" x14ac:dyDescent="0.3">
      <c r="A42" s="20">
        <f t="shared" si="0"/>
        <v>32</v>
      </c>
      <c r="B42" s="6" t="s">
        <v>637</v>
      </c>
      <c r="C42" s="6" t="s">
        <v>638</v>
      </c>
      <c r="D42" s="6"/>
      <c r="E42" s="6" t="s">
        <v>131</v>
      </c>
      <c r="F42" s="6"/>
      <c r="G42" s="7">
        <f t="shared" si="1"/>
        <v>0</v>
      </c>
      <c r="H42" s="6"/>
      <c r="I42" s="7">
        <f t="shared" si="2"/>
        <v>0</v>
      </c>
      <c r="J42" s="6"/>
      <c r="K42" s="7">
        <f>IF(J42=0,,($H$9-J42)*$H$7*100/$H$9)</f>
        <v>0</v>
      </c>
      <c r="L42" s="6"/>
      <c r="M42" s="7">
        <f t="shared" si="4"/>
        <v>0</v>
      </c>
      <c r="N42" s="6"/>
      <c r="O42" s="7">
        <f t="shared" si="5"/>
        <v>0</v>
      </c>
      <c r="P42" s="6"/>
      <c r="Q42" s="7">
        <f t="shared" si="6"/>
        <v>0</v>
      </c>
      <c r="R42" s="6">
        <v>24</v>
      </c>
      <c r="S42" s="7">
        <f t="shared" si="7"/>
        <v>105.4054054054054</v>
      </c>
      <c r="T42" s="6"/>
      <c r="U42" s="7">
        <f t="shared" si="8"/>
        <v>0</v>
      </c>
      <c r="V42" s="6"/>
      <c r="W42" s="7">
        <f t="shared" si="9"/>
        <v>0</v>
      </c>
      <c r="X42" s="8">
        <f t="shared" si="10"/>
        <v>105.4054054054054</v>
      </c>
      <c r="Y42" s="6">
        <f t="shared" si="11"/>
        <v>32</v>
      </c>
      <c r="Z42" s="6">
        <f t="shared" si="12"/>
        <v>1</v>
      </c>
      <c r="AA42" s="16">
        <f t="shared" si="13"/>
        <v>0.1</v>
      </c>
    </row>
    <row r="43" spans="1:27" x14ac:dyDescent="0.3">
      <c r="A43" s="20">
        <f t="shared" si="0"/>
        <v>33</v>
      </c>
      <c r="B43" s="6" t="s">
        <v>742</v>
      </c>
      <c r="C43" s="6" t="s">
        <v>368</v>
      </c>
      <c r="D43" s="6"/>
      <c r="E43" s="6" t="s">
        <v>126</v>
      </c>
      <c r="F43" s="6"/>
      <c r="G43" s="7">
        <f t="shared" si="1"/>
        <v>0</v>
      </c>
      <c r="H43" s="6"/>
      <c r="I43" s="7">
        <f t="shared" si="2"/>
        <v>0</v>
      </c>
      <c r="J43" s="6"/>
      <c r="K43" s="7">
        <f>IF(J43=0,,($H$9-J43)*$H$7*100/$H$9)</f>
        <v>0</v>
      </c>
      <c r="L43" s="6"/>
      <c r="M43" s="7">
        <f t="shared" si="4"/>
        <v>0</v>
      </c>
      <c r="N43" s="6"/>
      <c r="O43" s="7">
        <f t="shared" si="5"/>
        <v>0</v>
      </c>
      <c r="P43" s="6"/>
      <c r="Q43" s="7">
        <f t="shared" si="6"/>
        <v>0</v>
      </c>
      <c r="R43" s="6">
        <v>25</v>
      </c>
      <c r="S43" s="7">
        <f t="shared" si="7"/>
        <v>97.297297297297291</v>
      </c>
      <c r="T43" s="6"/>
      <c r="U43" s="7">
        <f t="shared" si="8"/>
        <v>0</v>
      </c>
      <c r="V43" s="6"/>
      <c r="W43" s="7">
        <f t="shared" si="9"/>
        <v>0</v>
      </c>
      <c r="X43" s="8">
        <f t="shared" si="10"/>
        <v>97.297297297297291</v>
      </c>
      <c r="Y43" s="6">
        <f t="shared" si="11"/>
        <v>33</v>
      </c>
      <c r="Z43" s="6">
        <f t="shared" si="12"/>
        <v>1</v>
      </c>
      <c r="AA43" s="16">
        <f t="shared" si="13"/>
        <v>0.1</v>
      </c>
    </row>
    <row r="44" spans="1:27" x14ac:dyDescent="0.3">
      <c r="A44" s="20">
        <f t="shared" si="0"/>
        <v>34</v>
      </c>
      <c r="B44" s="6" t="s">
        <v>514</v>
      </c>
      <c r="C44" s="6" t="s">
        <v>292</v>
      </c>
      <c r="D44" s="6"/>
      <c r="E44" s="6" t="s">
        <v>278</v>
      </c>
      <c r="F44" s="6"/>
      <c r="G44" s="7">
        <f t="shared" si="1"/>
        <v>0</v>
      </c>
      <c r="H44" s="6"/>
      <c r="I44" s="7">
        <f t="shared" si="2"/>
        <v>0</v>
      </c>
      <c r="J44" s="6"/>
      <c r="K44" s="7">
        <f>IF(J44=0,,($H$9-J44)*$H$7*100/$H$9)</f>
        <v>0</v>
      </c>
      <c r="L44" s="6"/>
      <c r="M44" s="7">
        <f t="shared" si="4"/>
        <v>0</v>
      </c>
      <c r="N44" s="31">
        <v>31</v>
      </c>
      <c r="O44" s="32">
        <f t="shared" si="5"/>
        <v>26.470588235294116</v>
      </c>
      <c r="P44" s="31">
        <v>53</v>
      </c>
      <c r="Q44" s="32">
        <f t="shared" si="6"/>
        <v>65.573770491803273</v>
      </c>
      <c r="R44" s="6"/>
      <c r="S44" s="7">
        <f t="shared" si="7"/>
        <v>0</v>
      </c>
      <c r="T44" s="6"/>
      <c r="U44" s="7">
        <f t="shared" si="8"/>
        <v>0</v>
      </c>
      <c r="V44" s="6"/>
      <c r="W44" s="7">
        <f t="shared" si="9"/>
        <v>0</v>
      </c>
      <c r="X44" s="8">
        <f t="shared" si="10"/>
        <v>92.044358727097389</v>
      </c>
      <c r="Y44" s="6">
        <f t="shared" si="11"/>
        <v>34</v>
      </c>
      <c r="Z44" s="6">
        <f t="shared" si="12"/>
        <v>2</v>
      </c>
      <c r="AA44" s="16">
        <f t="shared" si="13"/>
        <v>0.2</v>
      </c>
    </row>
    <row r="45" spans="1:27" x14ac:dyDescent="0.3">
      <c r="A45" s="20">
        <f t="shared" si="0"/>
        <v>35</v>
      </c>
      <c r="B45" s="6" t="s">
        <v>515</v>
      </c>
      <c r="C45" s="6" t="s">
        <v>307</v>
      </c>
      <c r="D45" s="6"/>
      <c r="E45" s="6" t="s">
        <v>225</v>
      </c>
      <c r="F45" s="6"/>
      <c r="G45" s="7">
        <f t="shared" si="1"/>
        <v>0</v>
      </c>
      <c r="H45" s="6"/>
      <c r="I45" s="7">
        <f t="shared" si="2"/>
        <v>0</v>
      </c>
      <c r="J45" s="6"/>
      <c r="K45" s="7">
        <f>IF(J45=0,,($H$9-J45)*$H$7*100/$H$9)</f>
        <v>0</v>
      </c>
      <c r="L45" s="6"/>
      <c r="M45" s="7">
        <f t="shared" si="4"/>
        <v>0</v>
      </c>
      <c r="N45" s="31">
        <v>32</v>
      </c>
      <c r="O45" s="32">
        <f t="shared" si="5"/>
        <v>17.647058823529413</v>
      </c>
      <c r="P45" s="31">
        <v>57</v>
      </c>
      <c r="Q45" s="32">
        <f t="shared" si="6"/>
        <v>32.786885245901637</v>
      </c>
      <c r="R45" s="6">
        <v>32</v>
      </c>
      <c r="S45" s="7">
        <f t="shared" si="7"/>
        <v>40.54054054054054</v>
      </c>
      <c r="T45" s="6"/>
      <c r="U45" s="7">
        <f t="shared" si="8"/>
        <v>0</v>
      </c>
      <c r="V45" s="6"/>
      <c r="W45" s="7">
        <f t="shared" si="9"/>
        <v>0</v>
      </c>
      <c r="X45" s="8">
        <f t="shared" si="10"/>
        <v>90.974484609971597</v>
      </c>
      <c r="Y45" s="6">
        <f t="shared" si="11"/>
        <v>35</v>
      </c>
      <c r="Z45" s="6">
        <f t="shared" si="12"/>
        <v>3</v>
      </c>
      <c r="AA45" s="16">
        <f t="shared" si="13"/>
        <v>0.3</v>
      </c>
    </row>
    <row r="46" spans="1:27" x14ac:dyDescent="0.3">
      <c r="A46" s="20">
        <f t="shared" si="0"/>
        <v>36</v>
      </c>
      <c r="B46" s="6" t="s">
        <v>234</v>
      </c>
      <c r="C46" s="6" t="s">
        <v>235</v>
      </c>
      <c r="D46" s="6"/>
      <c r="E46" s="6" t="s">
        <v>185</v>
      </c>
      <c r="F46" s="6">
        <v>25</v>
      </c>
      <c r="G46" s="7">
        <f t="shared" si="1"/>
        <v>14.814814814814815</v>
      </c>
      <c r="H46" s="6"/>
      <c r="I46" s="7">
        <f t="shared" si="2"/>
        <v>0</v>
      </c>
      <c r="J46" s="6"/>
      <c r="K46" s="7">
        <f>IF(J46=0,,($J$9-J46)*$J$7*100/$J$9)</f>
        <v>0</v>
      </c>
      <c r="L46" s="6"/>
      <c r="M46" s="7">
        <f t="shared" si="4"/>
        <v>0</v>
      </c>
      <c r="N46" s="31">
        <v>28</v>
      </c>
      <c r="O46" s="32">
        <f t="shared" si="5"/>
        <v>52.941176470588232</v>
      </c>
      <c r="P46" s="6"/>
      <c r="Q46" s="7">
        <f t="shared" si="6"/>
        <v>0</v>
      </c>
      <c r="R46" s="6"/>
      <c r="S46" s="7">
        <f t="shared" si="7"/>
        <v>0</v>
      </c>
      <c r="T46" s="6"/>
      <c r="U46" s="7">
        <f t="shared" si="8"/>
        <v>0</v>
      </c>
      <c r="V46" s="6"/>
      <c r="W46" s="7">
        <f t="shared" si="9"/>
        <v>0</v>
      </c>
      <c r="X46" s="8">
        <f t="shared" si="10"/>
        <v>67.755991285403042</v>
      </c>
      <c r="Y46" s="6">
        <f t="shared" si="11"/>
        <v>36</v>
      </c>
      <c r="Z46" s="6">
        <f t="shared" si="12"/>
        <v>2</v>
      </c>
      <c r="AA46" s="16">
        <f t="shared" si="13"/>
        <v>0.2</v>
      </c>
    </row>
    <row r="47" spans="1:27" x14ac:dyDescent="0.3">
      <c r="A47" s="20">
        <f t="shared" si="0"/>
        <v>37</v>
      </c>
      <c r="B47" s="6" t="s">
        <v>773</v>
      </c>
      <c r="C47" s="6" t="s">
        <v>774</v>
      </c>
      <c r="D47" s="6"/>
      <c r="E47" s="6" t="s">
        <v>512</v>
      </c>
      <c r="F47" s="6"/>
      <c r="G47" s="7">
        <f t="shared" si="1"/>
        <v>0</v>
      </c>
      <c r="H47" s="6"/>
      <c r="I47" s="7">
        <f t="shared" si="2"/>
        <v>0</v>
      </c>
      <c r="J47" s="6"/>
      <c r="K47" s="7">
        <f>IF(J47=0,,($H$9-J47)*$H$7*100/$H$9)</f>
        <v>0</v>
      </c>
      <c r="L47" s="6"/>
      <c r="M47" s="7">
        <f t="shared" si="4"/>
        <v>0</v>
      </c>
      <c r="N47" s="6"/>
      <c r="O47" s="7">
        <f>IF(N47=0,,($P$9-N47)*$P$7*100/$P$9)</f>
        <v>0</v>
      </c>
      <c r="P47" s="6"/>
      <c r="Q47" s="7">
        <f t="shared" si="6"/>
        <v>0</v>
      </c>
      <c r="R47" s="6">
        <v>29</v>
      </c>
      <c r="S47" s="7">
        <f t="shared" si="7"/>
        <v>64.86486486486487</v>
      </c>
      <c r="T47" s="6"/>
      <c r="U47" s="7">
        <f t="shared" si="8"/>
        <v>0</v>
      </c>
      <c r="V47" s="6"/>
      <c r="W47" s="7">
        <f t="shared" si="9"/>
        <v>0</v>
      </c>
      <c r="X47" s="8">
        <f t="shared" si="10"/>
        <v>64.86486486486487</v>
      </c>
      <c r="Y47" s="6">
        <f t="shared" si="11"/>
        <v>37</v>
      </c>
      <c r="Z47" s="6">
        <f t="shared" si="12"/>
        <v>1</v>
      </c>
      <c r="AA47" s="16">
        <f t="shared" si="13"/>
        <v>0.1</v>
      </c>
    </row>
    <row r="48" spans="1:27" x14ac:dyDescent="0.3">
      <c r="A48" s="20">
        <f t="shared" si="0"/>
        <v>38</v>
      </c>
      <c r="B48" s="6" t="s">
        <v>775</v>
      </c>
      <c r="C48" s="6" t="s">
        <v>776</v>
      </c>
      <c r="D48" s="6"/>
      <c r="E48" s="6" t="s">
        <v>777</v>
      </c>
      <c r="F48" s="6"/>
      <c r="G48" s="7"/>
      <c r="H48" s="6"/>
      <c r="I48" s="7"/>
      <c r="J48" s="6"/>
      <c r="K48" s="7"/>
      <c r="L48" s="6"/>
      <c r="M48" s="7"/>
      <c r="N48" s="6"/>
      <c r="O48" s="7"/>
      <c r="P48" s="6"/>
      <c r="Q48" s="7"/>
      <c r="R48" s="6">
        <v>33</v>
      </c>
      <c r="S48" s="7">
        <f t="shared" si="7"/>
        <v>32.432432432432435</v>
      </c>
      <c r="T48" s="6"/>
      <c r="U48" s="7"/>
      <c r="V48" s="6"/>
      <c r="W48" s="7"/>
      <c r="X48" s="8">
        <f t="shared" si="10"/>
        <v>32.432432432432435</v>
      </c>
      <c r="Y48" s="6">
        <f t="shared" si="11"/>
        <v>38</v>
      </c>
      <c r="Z48" s="6">
        <f t="shared" si="12"/>
        <v>1</v>
      </c>
      <c r="AA48" s="16">
        <f t="shared" si="13"/>
        <v>0.1</v>
      </c>
    </row>
    <row r="49" spans="1:27" x14ac:dyDescent="0.3">
      <c r="A49" s="20">
        <f t="shared" si="0"/>
        <v>39</v>
      </c>
      <c r="B49" s="6" t="s">
        <v>236</v>
      </c>
      <c r="C49" s="6" t="s">
        <v>237</v>
      </c>
      <c r="D49" s="13"/>
      <c r="E49" s="6" t="s">
        <v>238</v>
      </c>
      <c r="F49" s="6">
        <v>26</v>
      </c>
      <c r="G49" s="7">
        <f>IF(F49=0,,($F$9-F49)*$F$7*100/$F$9)</f>
        <v>7.4074074074074074</v>
      </c>
      <c r="H49" s="6"/>
      <c r="I49" s="7">
        <f>IF(H49=0,,($H$9-H49)*$H$7*100/$H$9)</f>
        <v>0</v>
      </c>
      <c r="J49" s="6"/>
      <c r="K49" s="7">
        <f>IF(J49=0,,($J$9-J49)*$J$7*100/$J$9)</f>
        <v>0</v>
      </c>
      <c r="L49" s="6"/>
      <c r="M49" s="7">
        <f>IF(L49=0,,($L$9-L49)*$L$7*100/$L$9)</f>
        <v>0</v>
      </c>
      <c r="N49" s="6"/>
      <c r="O49" s="7">
        <f>IF(N49=0,,($N$9-N49)*$N$7*100/$N$9)</f>
        <v>0</v>
      </c>
      <c r="P49" s="6"/>
      <c r="Q49" s="7">
        <f>IF(P49=0,,($P$9-P49)*$P$7*100/$P$9)</f>
        <v>0</v>
      </c>
      <c r="R49" s="6">
        <v>35</v>
      </c>
      <c r="S49" s="7">
        <f t="shared" si="7"/>
        <v>16.216216216216218</v>
      </c>
      <c r="T49" s="6"/>
      <c r="U49" s="7">
        <f>IF(T49=0,,($T$9-T49)*$T$7*100/$T$9)</f>
        <v>0</v>
      </c>
      <c r="V49" s="6"/>
      <c r="W49" s="7">
        <f>IF(V49=0,,($V$9-V49)*$V$7*100/$V$9)</f>
        <v>0</v>
      </c>
      <c r="X49" s="8">
        <f t="shared" si="10"/>
        <v>23.623623623623626</v>
      </c>
      <c r="Y49" s="6">
        <f t="shared" si="11"/>
        <v>39</v>
      </c>
      <c r="Z49" s="6">
        <f t="shared" si="12"/>
        <v>2</v>
      </c>
      <c r="AA49" s="16">
        <f t="shared" si="13"/>
        <v>0.2</v>
      </c>
    </row>
    <row r="50" spans="1:27" x14ac:dyDescent="0.3">
      <c r="A50" s="20">
        <f t="shared" si="0"/>
        <v>40</v>
      </c>
      <c r="B50" s="6" t="s">
        <v>516</v>
      </c>
      <c r="C50" s="6" t="s">
        <v>517</v>
      </c>
      <c r="D50" s="6"/>
      <c r="E50" s="6" t="s">
        <v>185</v>
      </c>
      <c r="F50" s="6"/>
      <c r="G50" s="7">
        <f>IF(F50=0,,($F$9-F50)*$F$7*100/$F$9)</f>
        <v>0</v>
      </c>
      <c r="H50" s="6"/>
      <c r="I50" s="7">
        <f>IF(H50=0,,($H$9-H50)*$H$7*100/$H$9)</f>
        <v>0</v>
      </c>
      <c r="J50" s="6"/>
      <c r="K50" s="7">
        <f>IF(J50=0,,($H$9-J50)*$H$7*100/$H$9)</f>
        <v>0</v>
      </c>
      <c r="L50" s="6"/>
      <c r="M50" s="7">
        <f>IF(L50=0,,($L$9-L50)*$L$7*100/$L$9)</f>
        <v>0</v>
      </c>
      <c r="N50" s="31">
        <v>33</v>
      </c>
      <c r="O50" s="32">
        <f>IF(N50=0,,($N$9-N50)*$N$7*100/$N$9)</f>
        <v>8.8235294117647065</v>
      </c>
      <c r="P50" s="6"/>
      <c r="Q50" s="7">
        <f>IF(P50=0,,($P$9-P50)*$P$7*100/$P$9)</f>
        <v>0</v>
      </c>
      <c r="R50" s="6"/>
      <c r="S50" s="7">
        <f t="shared" si="7"/>
        <v>0</v>
      </c>
      <c r="T50" s="6"/>
      <c r="U50" s="7">
        <f>IF(T50=0,,($T$9-T50)*$T$7*100/$T$9)</f>
        <v>0</v>
      </c>
      <c r="V50" s="6"/>
      <c r="W50" s="7">
        <f>IF(V50=0,,($V$9-V50)*$V$7*100/$V$9)</f>
        <v>0</v>
      </c>
      <c r="X50" s="8">
        <f t="shared" si="10"/>
        <v>8.8235294117647065</v>
      </c>
      <c r="Y50" s="6">
        <f t="shared" si="11"/>
        <v>40</v>
      </c>
      <c r="Z50" s="6">
        <f t="shared" si="12"/>
        <v>1</v>
      </c>
      <c r="AA50" s="16">
        <f t="shared" si="13"/>
        <v>0.1</v>
      </c>
    </row>
    <row r="51" spans="1:27" x14ac:dyDescent="0.3">
      <c r="A51" s="20">
        <v>41</v>
      </c>
      <c r="B51" s="6" t="s">
        <v>778</v>
      </c>
      <c r="C51" s="6" t="s">
        <v>498</v>
      </c>
      <c r="D51" s="6"/>
      <c r="E51" s="6" t="s">
        <v>779</v>
      </c>
      <c r="F51" s="6"/>
      <c r="G51" s="7"/>
      <c r="H51" s="6"/>
      <c r="I51" s="7"/>
      <c r="J51" s="6"/>
      <c r="K51" s="7"/>
      <c r="L51" s="6"/>
      <c r="M51" s="7"/>
      <c r="N51" s="6"/>
      <c r="O51" s="7"/>
      <c r="P51" s="6"/>
      <c r="Q51" s="7"/>
      <c r="R51" s="6">
        <v>36</v>
      </c>
      <c r="S51" s="7">
        <f t="shared" si="7"/>
        <v>8.1081081081081088</v>
      </c>
      <c r="T51" s="6"/>
      <c r="U51" s="7"/>
      <c r="V51" s="6"/>
      <c r="W51" s="7"/>
      <c r="X51" s="8">
        <f t="shared" si="10"/>
        <v>8.1081081081081088</v>
      </c>
      <c r="Y51" s="6">
        <f t="shared" si="11"/>
        <v>41</v>
      </c>
      <c r="Z51" s="6">
        <f t="shared" si="12"/>
        <v>1</v>
      </c>
      <c r="AA51" s="16">
        <f t="shared" si="13"/>
        <v>0.1</v>
      </c>
    </row>
    <row r="52" spans="1:27" x14ac:dyDescent="0.3">
      <c r="A52" s="20">
        <v>42</v>
      </c>
      <c r="B52" s="6" t="s">
        <v>780</v>
      </c>
      <c r="C52" s="6" t="s">
        <v>781</v>
      </c>
      <c r="D52" s="6"/>
      <c r="E52" s="6" t="s">
        <v>295</v>
      </c>
      <c r="F52" s="6"/>
      <c r="G52" s="7"/>
      <c r="H52" s="6"/>
      <c r="I52" s="7"/>
      <c r="J52" s="6"/>
      <c r="K52" s="7"/>
      <c r="L52" s="6"/>
      <c r="M52" s="7"/>
      <c r="N52" s="6"/>
      <c r="O52" s="7"/>
      <c r="P52" s="6"/>
      <c r="Q52" s="7"/>
      <c r="R52" s="6">
        <v>37</v>
      </c>
      <c r="S52" s="7">
        <f>8/2</f>
        <v>4</v>
      </c>
      <c r="T52" s="6"/>
      <c r="U52" s="7"/>
      <c r="V52" s="6"/>
      <c r="W52" s="7"/>
      <c r="X52" s="8">
        <f t="shared" si="10"/>
        <v>4</v>
      </c>
      <c r="Y52" s="6">
        <f t="shared" si="11"/>
        <v>42</v>
      </c>
      <c r="Z52" s="6">
        <f t="shared" si="12"/>
        <v>1</v>
      </c>
      <c r="AA52" s="16">
        <f t="shared" si="13"/>
        <v>0.1</v>
      </c>
    </row>
    <row r="53" spans="1:27" x14ac:dyDescent="0.3">
      <c r="A53" s="20">
        <v>43</v>
      </c>
      <c r="B53" s="6" t="s">
        <v>239</v>
      </c>
      <c r="C53" s="6" t="s">
        <v>240</v>
      </c>
      <c r="D53" s="6"/>
      <c r="E53" s="6" t="s">
        <v>164</v>
      </c>
      <c r="F53" s="6">
        <v>27</v>
      </c>
      <c r="G53" s="7">
        <f>IF(F53=0,,($F$9-F53)*$F$7*100/$F$9)</f>
        <v>0</v>
      </c>
      <c r="H53" s="6"/>
      <c r="I53" s="7">
        <f>IF(H53=0,,($H$9-H53)*$H$7*100/$H$9)</f>
        <v>0</v>
      </c>
      <c r="J53" s="6"/>
      <c r="K53" s="7">
        <f>IF(J53=0,,($J$9-J53)*$J$7*100/$J$9)</f>
        <v>0</v>
      </c>
      <c r="L53" s="6"/>
      <c r="M53" s="7">
        <f>IF(L53=0,,($L$9-L53)*$L$7*100/$L$9)</f>
        <v>0</v>
      </c>
      <c r="N53" s="6"/>
      <c r="O53" s="7">
        <f>IF(N53=0,,($N$9-N53)*$N$7*100/$N$9)</f>
        <v>0</v>
      </c>
      <c r="P53" s="6"/>
      <c r="Q53" s="7">
        <f>IF(P53=0,,($P$9-P53)*$P$7*100/$P$9)</f>
        <v>0</v>
      </c>
      <c r="R53" s="6"/>
      <c r="S53" s="7">
        <f>IF(R53=0,,($R$9-R53)*$R$7*100/$R$9)</f>
        <v>0</v>
      </c>
      <c r="T53" s="6"/>
      <c r="U53" s="7">
        <f>IF(T53=0,,($T$9-T53)*$T$7*100/$T$9)</f>
        <v>0</v>
      </c>
      <c r="V53" s="6"/>
      <c r="W53" s="7">
        <f>IF(V53=0,,($V$9-V53)*$V$7*100/$V$9)</f>
        <v>0</v>
      </c>
      <c r="X53" s="8">
        <f t="shared" si="10"/>
        <v>0</v>
      </c>
      <c r="Y53" s="6">
        <f t="shared" si="11"/>
        <v>43</v>
      </c>
      <c r="Z53" s="6">
        <f t="shared" si="12"/>
        <v>1</v>
      </c>
      <c r="AA53" s="16">
        <f t="shared" si="13"/>
        <v>0.1</v>
      </c>
    </row>
    <row r="54" spans="1:27" x14ac:dyDescent="0.3">
      <c r="A54" s="20">
        <f t="shared" si="0"/>
        <v>44</v>
      </c>
      <c r="B54" s="6" t="s">
        <v>518</v>
      </c>
      <c r="C54" s="6" t="s">
        <v>519</v>
      </c>
      <c r="D54" s="6"/>
      <c r="E54" s="6" t="s">
        <v>278</v>
      </c>
      <c r="F54" s="6"/>
      <c r="G54" s="7">
        <f>IF(F54=0,,($F$9-F54)*$F$7*100/$F$9)</f>
        <v>0</v>
      </c>
      <c r="H54" s="6"/>
      <c r="I54" s="7">
        <f>IF(H54=0,,($H$9-H54)*$H$7*100/$H$9)</f>
        <v>0</v>
      </c>
      <c r="J54" s="6"/>
      <c r="K54" s="7">
        <f>IF(J54=0,,($H$9-J54)*$H$7*100/$H$9)</f>
        <v>0</v>
      </c>
      <c r="L54" s="6"/>
      <c r="M54" s="7">
        <f>IF(L54=0,,($L$9-L54)*$L$7*100/$L$9)</f>
        <v>0</v>
      </c>
      <c r="N54" s="31">
        <v>34</v>
      </c>
      <c r="O54" s="32">
        <f>IF(N54=0,,($N$9-N54)*$N$7*100/$N$9)</f>
        <v>0</v>
      </c>
      <c r="P54" s="6"/>
      <c r="Q54" s="7">
        <f>IF(P54=0,,($P$9-P54)*$P$7*100/$P$9)</f>
        <v>0</v>
      </c>
      <c r="R54" s="6"/>
      <c r="S54" s="7">
        <f>IF(R54=0,,($R$9-R54)*$R$7*100/$R$9)</f>
        <v>0</v>
      </c>
      <c r="T54" s="6"/>
      <c r="U54" s="7">
        <f>IF(T54=0,,($T$9-T54)*$T$7*100/$T$9)</f>
        <v>0</v>
      </c>
      <c r="V54" s="6"/>
      <c r="W54" s="7">
        <f>IF(V54=0,,($V$9-V54)*$V$7*100/$V$9)</f>
        <v>0</v>
      </c>
      <c r="X54" s="8">
        <f t="shared" si="10"/>
        <v>0</v>
      </c>
      <c r="Y54" s="6">
        <f t="shared" si="11"/>
        <v>44</v>
      </c>
      <c r="Z54" s="6">
        <f t="shared" si="12"/>
        <v>1</v>
      </c>
      <c r="AA54" s="16">
        <f t="shared" si="13"/>
        <v>0.1</v>
      </c>
    </row>
    <row r="55" spans="1:27" x14ac:dyDescent="0.3">
      <c r="A55" s="45" t="s">
        <v>11</v>
      </c>
      <c r="B55" s="45"/>
      <c r="C55" s="46"/>
      <c r="D55" s="9"/>
      <c r="F55">
        <f>COUNTA(F11:F54)</f>
        <v>24</v>
      </c>
      <c r="H55">
        <f>COUNTA(H11:H54)</f>
        <v>6</v>
      </c>
      <c r="J55">
        <f>COUNTA(L11:L54)</f>
        <v>14</v>
      </c>
      <c r="L55">
        <f>COUNTA(N11:N54)</f>
        <v>34</v>
      </c>
      <c r="N55">
        <f>COUNTA(P11:P54)</f>
        <v>27</v>
      </c>
      <c r="P55">
        <f>COUNTA(R11:R54)</f>
        <v>37</v>
      </c>
      <c r="R55">
        <f>COUNTA(T11:T54)</f>
        <v>17</v>
      </c>
    </row>
    <row r="56" spans="1:27" x14ac:dyDescent="0.3">
      <c r="A56" s="55" t="s">
        <v>21</v>
      </c>
      <c r="B56" s="55"/>
      <c r="C56" s="55"/>
      <c r="F56" s="15">
        <f>F55/$G$2</f>
        <v>0.54545454545454541</v>
      </c>
      <c r="H56" s="15">
        <f>H55/$G$2</f>
        <v>0.13636363636363635</v>
      </c>
      <c r="J56" s="15">
        <f>J55/$G$2</f>
        <v>0.31818181818181818</v>
      </c>
      <c r="L56" s="15">
        <f>L55/$G$2</f>
        <v>0.77272727272727271</v>
      </c>
      <c r="N56" s="15">
        <f>N55/$G$2</f>
        <v>0.61363636363636365</v>
      </c>
      <c r="P56" s="15">
        <f>P55/$G$2</f>
        <v>0.84090909090909094</v>
      </c>
      <c r="R56" s="15">
        <f>R55/$G$2</f>
        <v>0.38636363636363635</v>
      </c>
    </row>
    <row r="58" spans="1:27" x14ac:dyDescent="0.3">
      <c r="L58" t="s">
        <v>12</v>
      </c>
    </row>
    <row r="59" spans="1:27" x14ac:dyDescent="0.3">
      <c r="L59" t="s">
        <v>12</v>
      </c>
    </row>
    <row r="60" spans="1:27" x14ac:dyDescent="0.3">
      <c r="L60" t="s">
        <v>12</v>
      </c>
    </row>
    <row r="61" spans="1:27" x14ac:dyDescent="0.3">
      <c r="L61" t="s">
        <v>12</v>
      </c>
    </row>
    <row r="62" spans="1:27" x14ac:dyDescent="0.3">
      <c r="L62" t="s">
        <v>12</v>
      </c>
    </row>
    <row r="63" spans="1:27" x14ac:dyDescent="0.3">
      <c r="L63" t="s">
        <v>12</v>
      </c>
    </row>
    <row r="64" spans="1:27" x14ac:dyDescent="0.3">
      <c r="L64" t="s">
        <v>12</v>
      </c>
    </row>
    <row r="65" spans="12:12" x14ac:dyDescent="0.3">
      <c r="L65" t="s">
        <v>12</v>
      </c>
    </row>
    <row r="66" spans="12:12" x14ac:dyDescent="0.3">
      <c r="L66" t="s">
        <v>12</v>
      </c>
    </row>
    <row r="67" spans="12:12" x14ac:dyDescent="0.3">
      <c r="L67" t="s">
        <v>12</v>
      </c>
    </row>
    <row r="68" spans="12:12" x14ac:dyDescent="0.3">
      <c r="L68" t="s">
        <v>12</v>
      </c>
    </row>
    <row r="69" spans="12:12" x14ac:dyDescent="0.3">
      <c r="L69" t="s">
        <v>12</v>
      </c>
    </row>
    <row r="70" spans="12:12" x14ac:dyDescent="0.3">
      <c r="L70" t="s">
        <v>12</v>
      </c>
    </row>
    <row r="71" spans="12:12" x14ac:dyDescent="0.3">
      <c r="L71" t="s">
        <v>12</v>
      </c>
    </row>
    <row r="72" spans="12:12" x14ac:dyDescent="0.3">
      <c r="L72" t="s">
        <v>12</v>
      </c>
    </row>
    <row r="73" spans="12:12" x14ac:dyDescent="0.3">
      <c r="L73" t="s">
        <v>12</v>
      </c>
    </row>
    <row r="74" spans="12:12" x14ac:dyDescent="0.3">
      <c r="L74" t="s">
        <v>12</v>
      </c>
    </row>
    <row r="75" spans="12:12" x14ac:dyDescent="0.3">
      <c r="L75" t="s">
        <v>12</v>
      </c>
    </row>
    <row r="76" spans="12:12" x14ac:dyDescent="0.3">
      <c r="L76" t="s">
        <v>12</v>
      </c>
    </row>
    <row r="77" spans="12:12" x14ac:dyDescent="0.3">
      <c r="L77" t="s">
        <v>12</v>
      </c>
    </row>
    <row r="78" spans="12:12" x14ac:dyDescent="0.3">
      <c r="L78" t="s">
        <v>12</v>
      </c>
    </row>
    <row r="79" spans="12:12" x14ac:dyDescent="0.3">
      <c r="L79" t="s">
        <v>12</v>
      </c>
    </row>
  </sheetData>
  <sortState xmlns:xlrd2="http://schemas.microsoft.com/office/spreadsheetml/2017/richdata2" ref="B11:X54">
    <sortCondition descending="1" ref="X11:X54"/>
  </sortState>
  <mergeCells count="41">
    <mergeCell ref="A1:N1"/>
    <mergeCell ref="F6:G6"/>
    <mergeCell ref="H6:I6"/>
    <mergeCell ref="L6:M6"/>
    <mergeCell ref="P6:Q6"/>
    <mergeCell ref="N6:O6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H8:I8"/>
    <mergeCell ref="L8:M8"/>
    <mergeCell ref="P8:Q8"/>
    <mergeCell ref="R8:S8"/>
    <mergeCell ref="V8:W8"/>
    <mergeCell ref="T8:U8"/>
    <mergeCell ref="J8:K8"/>
    <mergeCell ref="N8:O8"/>
    <mergeCell ref="H9:I9"/>
    <mergeCell ref="L9:M9"/>
    <mergeCell ref="P9:Q9"/>
    <mergeCell ref="R9:S9"/>
    <mergeCell ref="V9:W9"/>
    <mergeCell ref="T9:U9"/>
    <mergeCell ref="J9:K9"/>
    <mergeCell ref="N9:O9"/>
    <mergeCell ref="A55:C55"/>
    <mergeCell ref="E2:F2"/>
    <mergeCell ref="E3:F3"/>
    <mergeCell ref="A56:C56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E H-Vétérans</vt:lpstr>
      <vt:lpstr>E D-Veterans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LIGUE ESCRIME BRETAGNE</cp:lastModifiedBy>
  <cp:lastPrinted>2019-05-04T13:51:43Z</cp:lastPrinted>
  <dcterms:created xsi:type="dcterms:W3CDTF">2019-05-02T05:27:41Z</dcterms:created>
  <dcterms:modified xsi:type="dcterms:W3CDTF">2024-07-01T09:08:16Z</dcterms:modified>
</cp:coreProperties>
</file>