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3_2024/"/>
    </mc:Choice>
  </mc:AlternateContent>
  <xr:revisionPtr revIDLastSave="0" documentId="8_{E348454D-ED43-442E-A69E-90E54B02006E}" xr6:coauthVersionLast="47" xr6:coauthVersionMax="47" xr10:uidLastSave="{00000000-0000-0000-0000-000000000000}"/>
  <bookViews>
    <workbookView xWindow="-108" yWindow="-108" windowWidth="23256" windowHeight="12456" tabRatio="874" activeTab="11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2" r:id="rId6"/>
    <sheet name="SH-M17-" sheetId="30" r:id="rId7"/>
    <sheet name="SD-M17-" sheetId="7" r:id="rId8"/>
    <sheet name="SH-M15-" sheetId="25" r:id="rId9"/>
    <sheet name="SD-M15-" sheetId="9" r:id="rId10"/>
    <sheet name="SH-M13-" sheetId="29" r:id="rId11"/>
    <sheet name="SD-M13-" sheetId="28" r:id="rId12"/>
    <sheet name="SH-M11-" sheetId="24" r:id="rId13"/>
    <sheet name="SH-M11- coupe du futur" sheetId="38" r:id="rId14"/>
    <sheet name="SD-M11-" sheetId="13" r:id="rId15"/>
    <sheet name="SD-M11 coupe du futur" sheetId="37" r:id="rId16"/>
    <sheet name="SH-M9-" sheetId="26" r:id="rId17"/>
    <sheet name="SH-M9- coupe du futur" sheetId="40" r:id="rId18"/>
    <sheet name="SD-M9-" sheetId="27" r:id="rId19"/>
    <sheet name="SD-M9-coupe du futur" sheetId="39" r:id="rId20"/>
    <sheet name="Statistiques" sheetId="32" r:id="rId21"/>
  </sheets>
  <definedNames>
    <definedName name="_xlnm._FilterDatabase" localSheetId="14" hidden="1">'SD-M11-'!$B$10:$U$24</definedName>
    <definedName name="_xlnm._FilterDatabase" localSheetId="15" hidden="1">'SD-M11 coupe du futur'!$B$10:$M$24</definedName>
    <definedName name="_xlnm._FilterDatabase" localSheetId="11" hidden="1">'SD-M13-'!$B$10:$U$30</definedName>
    <definedName name="_xlnm._FilterDatabase" localSheetId="9" hidden="1">'SD-M15-'!$A$10:$W$42</definedName>
    <definedName name="_xlnm._FilterDatabase" localSheetId="7" hidden="1">'SD-M17-'!$B$10:$AB$29</definedName>
    <definedName name="_xlnm._FilterDatabase" localSheetId="5" hidden="1">'SD-M20-'!$B$10:$P$19</definedName>
    <definedName name="_xlnm._FilterDatabase" localSheetId="18" hidden="1">'SD-M9-'!$B$10:$N$23</definedName>
    <definedName name="_xlnm._FilterDatabase" localSheetId="19" hidden="1">'SD-M9-coupe du futur'!$B$10:$L$23</definedName>
    <definedName name="_xlnm._FilterDatabase" localSheetId="3" hidden="1">'SD-Senior'!$B$10:$P$33</definedName>
    <definedName name="_xlnm._FilterDatabase" localSheetId="1" hidden="1">'SD-Veterans'!$B$10:$N$33</definedName>
    <definedName name="_xlnm._FilterDatabase" localSheetId="12" hidden="1">'SH-M11-'!$B$10:$U$67</definedName>
    <definedName name="_xlnm._FilterDatabase" localSheetId="13" hidden="1">'SH-M11- coupe du futur'!$B$10:$M$67</definedName>
    <definedName name="_xlnm._FilterDatabase" localSheetId="10" hidden="1">'SH-M13-'!$B$10:$U$52</definedName>
    <definedName name="_xlnm._FilterDatabase" localSheetId="8" hidden="1">'SH-M15-'!$B$10:$U$54</definedName>
    <definedName name="_xlnm._FilterDatabase" localSheetId="4" hidden="1">'SH-M20-'!$B$10:$S$25</definedName>
    <definedName name="_xlnm._FilterDatabase" localSheetId="16" hidden="1">'SH-M9-'!$B$10:$N$40</definedName>
    <definedName name="_xlnm._FilterDatabase" localSheetId="17" hidden="1">'SH-M9- coupe du futur'!$B$10:$L$40</definedName>
    <definedName name="_xlnm._FilterDatabase" localSheetId="2" hidden="1">'SH-Senior'!$B$10:$P$33</definedName>
    <definedName name="_xlnm._FilterDatabase" localSheetId="0" hidden="1">'SH-Veterans'!$B$10:$N$33</definedName>
    <definedName name="_xlnm.Print_Area" localSheetId="11">'SD-M13-'!$A$1:$V$32</definedName>
    <definedName name="_xlnm.Print_Area" localSheetId="10">'SH-M13-'!$A$1:$V$54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28" l="1"/>
  <c r="T19" i="28" s="1"/>
  <c r="Q22" i="28"/>
  <c r="T12" i="29"/>
  <c r="Q38" i="29"/>
  <c r="Q25" i="29"/>
  <c r="Q22" i="29"/>
  <c r="Q18" i="29"/>
  <c r="Q19" i="29"/>
  <c r="Q9" i="29"/>
  <c r="Q16" i="29"/>
  <c r="Q15" i="29"/>
  <c r="G3" i="7"/>
  <c r="G3" i="9"/>
  <c r="G3" i="25"/>
  <c r="O13" i="31"/>
  <c r="O12" i="31"/>
  <c r="O16" i="31"/>
  <c r="O22" i="31"/>
  <c r="P19" i="31"/>
  <c r="O9" i="31"/>
  <c r="M12" i="2"/>
  <c r="M13" i="2"/>
  <c r="M11" i="2"/>
  <c r="M9" i="2"/>
  <c r="O53" i="29"/>
  <c r="P49" i="29"/>
  <c r="J18" i="28"/>
  <c r="W14" i="30"/>
  <c r="W17" i="30"/>
  <c r="W13" i="30"/>
  <c r="W16" i="30"/>
  <c r="W9" i="30"/>
  <c r="W17" i="7"/>
  <c r="W16" i="7"/>
  <c r="W15" i="7"/>
  <c r="W14" i="7"/>
  <c r="W13" i="7"/>
  <c r="W9" i="7"/>
  <c r="N22" i="19"/>
  <c r="L12" i="31"/>
  <c r="L11" i="31"/>
  <c r="L15" i="31"/>
  <c r="L14" i="31"/>
  <c r="L16" i="31"/>
  <c r="L18" i="31"/>
  <c r="L19" i="31"/>
  <c r="L17" i="31"/>
  <c r="L20" i="31"/>
  <c r="L21" i="31"/>
  <c r="L22" i="31"/>
  <c r="L23" i="31"/>
  <c r="L24" i="31"/>
  <c r="L25" i="31"/>
  <c r="L13" i="31"/>
  <c r="K26" i="31"/>
  <c r="V25" i="30"/>
  <c r="F26" i="30"/>
  <c r="F31" i="30"/>
  <c r="F36" i="30"/>
  <c r="F37" i="30"/>
  <c r="F38" i="30"/>
  <c r="F39" i="30"/>
  <c r="F40" i="30"/>
  <c r="F41" i="30"/>
  <c r="F42" i="30"/>
  <c r="F43" i="30"/>
  <c r="F44" i="30"/>
  <c r="F45" i="30"/>
  <c r="V26" i="7"/>
  <c r="V16" i="7"/>
  <c r="V17" i="7"/>
  <c r="V21" i="7"/>
  <c r="V22" i="7"/>
  <c r="V23" i="7"/>
  <c r="V24" i="7"/>
  <c r="V25" i="7"/>
  <c r="V27" i="7"/>
  <c r="V12" i="7"/>
  <c r="V14" i="7"/>
  <c r="V13" i="7"/>
  <c r="V15" i="7"/>
  <c r="V18" i="7"/>
  <c r="V19" i="7"/>
  <c r="V20" i="7"/>
  <c r="V11" i="7"/>
  <c r="N49" i="29"/>
  <c r="T12" i="28"/>
  <c r="T16" i="28"/>
  <c r="T13" i="28"/>
  <c r="T14" i="28"/>
  <c r="T17" i="28"/>
  <c r="T15" i="28"/>
  <c r="T21" i="28"/>
  <c r="T20" i="28"/>
  <c r="T18" i="28"/>
  <c r="T23" i="28"/>
  <c r="T24" i="28"/>
  <c r="T26" i="28"/>
  <c r="T25" i="28"/>
  <c r="T29" i="28"/>
  <c r="T27" i="28"/>
  <c r="T28" i="28"/>
  <c r="T22" i="28"/>
  <c r="T30" i="28"/>
  <c r="T11" i="28"/>
  <c r="N25" i="28"/>
  <c r="N11" i="28"/>
  <c r="T12" i="24"/>
  <c r="T13" i="24"/>
  <c r="T14" i="24"/>
  <c r="T16" i="24"/>
  <c r="T17" i="24"/>
  <c r="T18" i="24"/>
  <c r="T19" i="24"/>
  <c r="T22" i="24"/>
  <c r="T15" i="24"/>
  <c r="T21" i="24"/>
  <c r="T23" i="24"/>
  <c r="T20" i="24"/>
  <c r="T26" i="24"/>
  <c r="T28" i="24"/>
  <c r="T24" i="24"/>
  <c r="T25" i="24"/>
  <c r="T27" i="24"/>
  <c r="T29" i="24"/>
  <c r="T30" i="24"/>
  <c r="T33" i="24"/>
  <c r="T34" i="24"/>
  <c r="T31" i="24"/>
  <c r="T35" i="24"/>
  <c r="T37" i="24"/>
  <c r="T38" i="24"/>
  <c r="T39" i="24"/>
  <c r="T32" i="24"/>
  <c r="T40" i="24"/>
  <c r="T36" i="24"/>
  <c r="T43" i="24"/>
  <c r="T44" i="24"/>
  <c r="T45" i="24"/>
  <c r="T46" i="24"/>
  <c r="T47" i="24"/>
  <c r="T48" i="24"/>
  <c r="T50" i="24"/>
  <c r="T51" i="24"/>
  <c r="T52" i="24"/>
  <c r="T55" i="24"/>
  <c r="T56" i="24"/>
  <c r="T57" i="24"/>
  <c r="T58" i="24"/>
  <c r="T41" i="24"/>
  <c r="T59" i="24"/>
  <c r="T61" i="24"/>
  <c r="T62" i="24"/>
  <c r="T63" i="24"/>
  <c r="T65" i="24"/>
  <c r="T54" i="24"/>
  <c r="T67" i="24"/>
  <c r="T42" i="24"/>
  <c r="T49" i="24"/>
  <c r="T60" i="24"/>
  <c r="T64" i="24"/>
  <c r="T53" i="24"/>
  <c r="T66" i="24"/>
  <c r="T11" i="24"/>
  <c r="I68" i="38"/>
  <c r="G68" i="38"/>
  <c r="E68" i="38"/>
  <c r="E24" i="39"/>
  <c r="G24" i="39"/>
  <c r="I24" i="39"/>
  <c r="G41" i="40"/>
  <c r="I41" i="40"/>
  <c r="E41" i="40"/>
  <c r="N11" i="2" l="1"/>
  <c r="K11" i="40"/>
  <c r="M40" i="40"/>
  <c r="L40" i="40"/>
  <c r="A40" i="40" s="1"/>
  <c r="J40" i="40"/>
  <c r="H40" i="40"/>
  <c r="F40" i="40"/>
  <c r="M39" i="40"/>
  <c r="L39" i="40"/>
  <c r="A39" i="40" s="1"/>
  <c r="J39" i="40"/>
  <c r="H39" i="40"/>
  <c r="F39" i="40"/>
  <c r="M38" i="40"/>
  <c r="L38" i="40"/>
  <c r="A38" i="40" s="1"/>
  <c r="J38" i="40"/>
  <c r="H38" i="40"/>
  <c r="F38" i="40"/>
  <c r="M37" i="40"/>
  <c r="L37" i="40"/>
  <c r="A37" i="40" s="1"/>
  <c r="J37" i="40"/>
  <c r="K37" i="40" s="1"/>
  <c r="H37" i="40"/>
  <c r="F37" i="40"/>
  <c r="M36" i="40"/>
  <c r="L36" i="40"/>
  <c r="A36" i="40" s="1"/>
  <c r="J36" i="40"/>
  <c r="H36" i="40"/>
  <c r="F36" i="40"/>
  <c r="M34" i="40"/>
  <c r="L34" i="40"/>
  <c r="A34" i="40" s="1"/>
  <c r="J34" i="40"/>
  <c r="H34" i="40"/>
  <c r="F34" i="40"/>
  <c r="K34" i="40" s="1"/>
  <c r="M28" i="40"/>
  <c r="L28" i="40"/>
  <c r="A28" i="40" s="1"/>
  <c r="J28" i="40"/>
  <c r="K28" i="40" s="1"/>
  <c r="H28" i="40"/>
  <c r="F28" i="40"/>
  <c r="M24" i="40"/>
  <c r="L24" i="40"/>
  <c r="A24" i="40" s="1"/>
  <c r="J24" i="40"/>
  <c r="K24" i="40" s="1"/>
  <c r="H24" i="40"/>
  <c r="F24" i="40"/>
  <c r="M32" i="40"/>
  <c r="L32" i="40"/>
  <c r="A32" i="40" s="1"/>
  <c r="J32" i="40"/>
  <c r="H32" i="40"/>
  <c r="F32" i="40"/>
  <c r="M33" i="40"/>
  <c r="L33" i="40"/>
  <c r="A33" i="40" s="1"/>
  <c r="J33" i="40"/>
  <c r="H33" i="40"/>
  <c r="F33" i="40"/>
  <c r="M29" i="40"/>
  <c r="L29" i="40"/>
  <c r="A29" i="40" s="1"/>
  <c r="J29" i="40"/>
  <c r="H29" i="40"/>
  <c r="F29" i="40"/>
  <c r="M26" i="40"/>
  <c r="L26" i="40"/>
  <c r="A26" i="40" s="1"/>
  <c r="J26" i="40"/>
  <c r="K26" i="40" s="1"/>
  <c r="H26" i="40"/>
  <c r="F26" i="40"/>
  <c r="M31" i="40"/>
  <c r="L31" i="40"/>
  <c r="A31" i="40" s="1"/>
  <c r="J31" i="40"/>
  <c r="H31" i="40"/>
  <c r="F31" i="40"/>
  <c r="M30" i="40"/>
  <c r="L30" i="40"/>
  <c r="A30" i="40" s="1"/>
  <c r="J30" i="40"/>
  <c r="H30" i="40"/>
  <c r="F30" i="40"/>
  <c r="M27" i="40"/>
  <c r="L27" i="40"/>
  <c r="A27" i="40" s="1"/>
  <c r="J27" i="40"/>
  <c r="H27" i="40"/>
  <c r="F27" i="40"/>
  <c r="M25" i="40"/>
  <c r="L25" i="40"/>
  <c r="A25" i="40" s="1"/>
  <c r="J25" i="40"/>
  <c r="K25" i="40" s="1"/>
  <c r="H25" i="40"/>
  <c r="F25" i="40"/>
  <c r="M18" i="40"/>
  <c r="L18" i="40"/>
  <c r="A18" i="40" s="1"/>
  <c r="J18" i="40"/>
  <c r="H18" i="40"/>
  <c r="F18" i="40"/>
  <c r="M35" i="40"/>
  <c r="L35" i="40"/>
  <c r="A35" i="40" s="1"/>
  <c r="J35" i="40"/>
  <c r="H35" i="40"/>
  <c r="F35" i="40"/>
  <c r="M20" i="40"/>
  <c r="L20" i="40"/>
  <c r="A20" i="40" s="1"/>
  <c r="J20" i="40"/>
  <c r="H20" i="40"/>
  <c r="F20" i="40"/>
  <c r="M19" i="40"/>
  <c r="L19" i="40"/>
  <c r="A19" i="40" s="1"/>
  <c r="J19" i="40"/>
  <c r="H19" i="40"/>
  <c r="F19" i="40"/>
  <c r="M23" i="40"/>
  <c r="L23" i="40"/>
  <c r="A23" i="40" s="1"/>
  <c r="J23" i="40"/>
  <c r="H23" i="40"/>
  <c r="F23" i="40"/>
  <c r="M22" i="40"/>
  <c r="L22" i="40"/>
  <c r="A22" i="40" s="1"/>
  <c r="J22" i="40"/>
  <c r="K22" i="40" s="1"/>
  <c r="H22" i="40"/>
  <c r="F22" i="40"/>
  <c r="M17" i="40"/>
  <c r="L17" i="40"/>
  <c r="A17" i="40" s="1"/>
  <c r="J17" i="40"/>
  <c r="K17" i="40" s="1"/>
  <c r="H17" i="40"/>
  <c r="F17" i="40"/>
  <c r="M12" i="40"/>
  <c r="L12" i="40"/>
  <c r="A12" i="40" s="1"/>
  <c r="J12" i="40"/>
  <c r="H12" i="40"/>
  <c r="F12" i="40"/>
  <c r="K12" i="40" s="1"/>
  <c r="M13" i="40"/>
  <c r="L13" i="40"/>
  <c r="A13" i="40" s="1"/>
  <c r="J13" i="40"/>
  <c r="K13" i="40" s="1"/>
  <c r="H13" i="40"/>
  <c r="F13" i="40"/>
  <c r="M15" i="40"/>
  <c r="L15" i="40"/>
  <c r="A15" i="40" s="1"/>
  <c r="J15" i="40"/>
  <c r="K15" i="40" s="1"/>
  <c r="H15" i="40"/>
  <c r="F15" i="40"/>
  <c r="M21" i="40"/>
  <c r="L21" i="40"/>
  <c r="A21" i="40" s="1"/>
  <c r="J21" i="40"/>
  <c r="H21" i="40"/>
  <c r="F21" i="40"/>
  <c r="M14" i="40"/>
  <c r="L14" i="40"/>
  <c r="A14" i="40" s="1"/>
  <c r="J14" i="40"/>
  <c r="H14" i="40"/>
  <c r="F14" i="40"/>
  <c r="M16" i="40"/>
  <c r="L16" i="40"/>
  <c r="A16" i="40" s="1"/>
  <c r="J16" i="40"/>
  <c r="H16" i="40"/>
  <c r="F16" i="40"/>
  <c r="M11" i="40"/>
  <c r="L11" i="40"/>
  <c r="J11" i="40"/>
  <c r="H11" i="40"/>
  <c r="F11" i="40"/>
  <c r="A11" i="40"/>
  <c r="G3" i="40"/>
  <c r="G2" i="40"/>
  <c r="L35" i="26"/>
  <c r="L13" i="26"/>
  <c r="L12" i="26"/>
  <c r="L18" i="26"/>
  <c r="L16" i="26"/>
  <c r="L15" i="26"/>
  <c r="L14" i="26"/>
  <c r="L17" i="26"/>
  <c r="L22" i="26"/>
  <c r="L23" i="26"/>
  <c r="L21" i="26"/>
  <c r="L19" i="26"/>
  <c r="L25" i="26"/>
  <c r="L20" i="26"/>
  <c r="L26" i="26"/>
  <c r="L28" i="26"/>
  <c r="L31" i="26"/>
  <c r="L32" i="26"/>
  <c r="L27" i="26"/>
  <c r="L30" i="26"/>
  <c r="L34" i="26"/>
  <c r="L33" i="26"/>
  <c r="L24" i="26"/>
  <c r="L29" i="26"/>
  <c r="L36" i="26"/>
  <c r="L37" i="26"/>
  <c r="L38" i="26"/>
  <c r="L39" i="26"/>
  <c r="L40" i="26"/>
  <c r="L11" i="26"/>
  <c r="K17" i="39"/>
  <c r="M23" i="39"/>
  <c r="L23" i="39"/>
  <c r="A23" i="39" s="1"/>
  <c r="J23" i="39"/>
  <c r="K23" i="39" s="1"/>
  <c r="H23" i="39"/>
  <c r="F23" i="39"/>
  <c r="M22" i="39"/>
  <c r="L22" i="39"/>
  <c r="A22" i="39" s="1"/>
  <c r="J22" i="39"/>
  <c r="K22" i="39" s="1"/>
  <c r="H22" i="39"/>
  <c r="F22" i="39"/>
  <c r="M21" i="39"/>
  <c r="L21" i="39"/>
  <c r="A21" i="39" s="1"/>
  <c r="J21" i="39"/>
  <c r="H21" i="39"/>
  <c r="F21" i="39"/>
  <c r="M20" i="39"/>
  <c r="N20" i="39" s="1"/>
  <c r="L20" i="39"/>
  <c r="A20" i="39" s="1"/>
  <c r="J20" i="39"/>
  <c r="H20" i="39"/>
  <c r="F20" i="39"/>
  <c r="M19" i="39"/>
  <c r="L19" i="39"/>
  <c r="A19" i="39" s="1"/>
  <c r="J19" i="39"/>
  <c r="H19" i="39"/>
  <c r="F19" i="39"/>
  <c r="M18" i="39"/>
  <c r="L18" i="39"/>
  <c r="A18" i="39" s="1"/>
  <c r="J18" i="39"/>
  <c r="H18" i="39"/>
  <c r="F18" i="39"/>
  <c r="K18" i="39" s="1"/>
  <c r="M17" i="39"/>
  <c r="L17" i="39"/>
  <c r="A17" i="39" s="1"/>
  <c r="J17" i="39"/>
  <c r="H17" i="39"/>
  <c r="F17" i="39"/>
  <c r="M15" i="39"/>
  <c r="L15" i="39"/>
  <c r="A15" i="39" s="1"/>
  <c r="J15" i="39"/>
  <c r="H15" i="39"/>
  <c r="F15" i="39"/>
  <c r="M16" i="39"/>
  <c r="L16" i="39"/>
  <c r="A16" i="39" s="1"/>
  <c r="J16" i="39"/>
  <c r="K16" i="39" s="1"/>
  <c r="H16" i="39"/>
  <c r="F16" i="39"/>
  <c r="M14" i="39"/>
  <c r="N14" i="39" s="1"/>
  <c r="L14" i="39"/>
  <c r="A14" i="39" s="1"/>
  <c r="J14" i="39"/>
  <c r="K14" i="39" s="1"/>
  <c r="H14" i="39"/>
  <c r="F14" i="39"/>
  <c r="M12" i="39"/>
  <c r="L12" i="39"/>
  <c r="A12" i="39" s="1"/>
  <c r="J12" i="39"/>
  <c r="H12" i="39"/>
  <c r="F12" i="39"/>
  <c r="M13" i="39"/>
  <c r="L13" i="39"/>
  <c r="A13" i="39" s="1"/>
  <c r="J13" i="39"/>
  <c r="H13" i="39"/>
  <c r="F13" i="39"/>
  <c r="M11" i="39"/>
  <c r="L11" i="39"/>
  <c r="A11" i="39" s="1"/>
  <c r="J11" i="39"/>
  <c r="K11" i="39" s="1"/>
  <c r="H11" i="39"/>
  <c r="F11" i="39"/>
  <c r="G3" i="39"/>
  <c r="G2" i="39"/>
  <c r="L17" i="27"/>
  <c r="L12" i="27"/>
  <c r="L13" i="27"/>
  <c r="L14" i="27"/>
  <c r="L16" i="27"/>
  <c r="L15" i="27"/>
  <c r="L18" i="27"/>
  <c r="L19" i="27"/>
  <c r="L20" i="27"/>
  <c r="L21" i="27"/>
  <c r="L22" i="27"/>
  <c r="L23" i="27"/>
  <c r="L11" i="27"/>
  <c r="K54" i="38"/>
  <c r="K55" i="38"/>
  <c r="M56" i="38"/>
  <c r="A56" i="38" s="1"/>
  <c r="L56" i="38"/>
  <c r="J56" i="38"/>
  <c r="K56" i="38" s="1"/>
  <c r="M47" i="38"/>
  <c r="A47" i="38" s="1"/>
  <c r="L47" i="38"/>
  <c r="J47" i="38"/>
  <c r="K47" i="38" s="1"/>
  <c r="M55" i="38"/>
  <c r="A55" i="38" s="1"/>
  <c r="L55" i="38"/>
  <c r="J55" i="38"/>
  <c r="M52" i="38"/>
  <c r="A52" i="38" s="1"/>
  <c r="L52" i="38"/>
  <c r="J52" i="38"/>
  <c r="K52" i="38" s="1"/>
  <c r="M45" i="38"/>
  <c r="A45" i="38" s="1"/>
  <c r="L45" i="38"/>
  <c r="J45" i="38"/>
  <c r="K45" i="38" s="1"/>
  <c r="M37" i="38"/>
  <c r="A37" i="38" s="1"/>
  <c r="L37" i="38"/>
  <c r="J37" i="38"/>
  <c r="K37" i="38" s="1"/>
  <c r="M67" i="38"/>
  <c r="A67" i="38" s="1"/>
  <c r="L67" i="38"/>
  <c r="N67" i="38" s="1"/>
  <c r="J67" i="38"/>
  <c r="H67" i="38"/>
  <c r="F67" i="38"/>
  <c r="K67" i="38" s="1"/>
  <c r="M48" i="38"/>
  <c r="A48" i="38" s="1"/>
  <c r="L48" i="38"/>
  <c r="N48" i="38" s="1"/>
  <c r="J48" i="38"/>
  <c r="H48" i="38"/>
  <c r="F48" i="38"/>
  <c r="M66" i="38"/>
  <c r="A66" i="38" s="1"/>
  <c r="L66" i="38"/>
  <c r="J66" i="38"/>
  <c r="H66" i="38"/>
  <c r="F66" i="38"/>
  <c r="K66" i="38" s="1"/>
  <c r="M65" i="38"/>
  <c r="A65" i="38" s="1"/>
  <c r="L65" i="38"/>
  <c r="N65" i="38" s="1"/>
  <c r="J65" i="38"/>
  <c r="H65" i="38"/>
  <c r="F65" i="38"/>
  <c r="K65" i="38" s="1"/>
  <c r="M54" i="38"/>
  <c r="L54" i="38"/>
  <c r="J54" i="38"/>
  <c r="H54" i="38"/>
  <c r="F54" i="38"/>
  <c r="A54" i="38"/>
  <c r="M53" i="38"/>
  <c r="A53" i="38" s="1"/>
  <c r="L53" i="38"/>
  <c r="J53" i="38"/>
  <c r="H53" i="38"/>
  <c r="F53" i="38"/>
  <c r="K53" i="38" s="1"/>
  <c r="M64" i="38"/>
  <c r="A64" i="38" s="1"/>
  <c r="L64" i="38"/>
  <c r="N64" i="38" s="1"/>
  <c r="J64" i="38"/>
  <c r="H64" i="38"/>
  <c r="F64" i="38"/>
  <c r="K64" i="38" s="1"/>
  <c r="M36" i="38"/>
  <c r="A36" i="38" s="1"/>
  <c r="L36" i="38"/>
  <c r="J36" i="38"/>
  <c r="H36" i="38"/>
  <c r="F36" i="38"/>
  <c r="K36" i="38" s="1"/>
  <c r="M49" i="38"/>
  <c r="A49" i="38" s="1"/>
  <c r="L49" i="38"/>
  <c r="J49" i="38"/>
  <c r="H49" i="38"/>
  <c r="F49" i="38"/>
  <c r="M63" i="38"/>
  <c r="A63" i="38" s="1"/>
  <c r="L63" i="38"/>
  <c r="N63" i="38" s="1"/>
  <c r="J63" i="38"/>
  <c r="H63" i="38"/>
  <c r="F63" i="38"/>
  <c r="M62" i="38"/>
  <c r="A62" i="38" s="1"/>
  <c r="L62" i="38"/>
  <c r="J62" i="38"/>
  <c r="H62" i="38"/>
  <c r="F62" i="38"/>
  <c r="K62" i="38" s="1"/>
  <c r="M51" i="38"/>
  <c r="A51" i="38" s="1"/>
  <c r="L51" i="38"/>
  <c r="J51" i="38"/>
  <c r="H51" i="38"/>
  <c r="F51" i="38"/>
  <c r="M46" i="38"/>
  <c r="A46" i="38" s="1"/>
  <c r="L46" i="38"/>
  <c r="J46" i="38"/>
  <c r="H46" i="38"/>
  <c r="F46" i="38"/>
  <c r="M61" i="38"/>
  <c r="A61" i="38" s="1"/>
  <c r="L61" i="38"/>
  <c r="J61" i="38"/>
  <c r="H61" i="38"/>
  <c r="F61" i="38"/>
  <c r="K61" i="38" s="1"/>
  <c r="M60" i="38"/>
  <c r="A60" i="38" s="1"/>
  <c r="L60" i="38"/>
  <c r="J60" i="38"/>
  <c r="H60" i="38"/>
  <c r="F60" i="38"/>
  <c r="M59" i="38"/>
  <c r="A59" i="38" s="1"/>
  <c r="L59" i="38"/>
  <c r="N59" i="38" s="1"/>
  <c r="J59" i="38"/>
  <c r="H59" i="38"/>
  <c r="F59" i="38"/>
  <c r="M43" i="38"/>
  <c r="A43" i="38" s="1"/>
  <c r="L43" i="38"/>
  <c r="J43" i="38"/>
  <c r="H43" i="38"/>
  <c r="F43" i="38"/>
  <c r="K43" i="38" s="1"/>
  <c r="M44" i="38"/>
  <c r="A44" i="38" s="1"/>
  <c r="L44" i="38"/>
  <c r="J44" i="38"/>
  <c r="H44" i="38"/>
  <c r="F44" i="38"/>
  <c r="K44" i="38" s="1"/>
  <c r="M41" i="38"/>
  <c r="A41" i="38" s="1"/>
  <c r="L41" i="38"/>
  <c r="J41" i="38"/>
  <c r="H41" i="38"/>
  <c r="F41" i="38"/>
  <c r="K41" i="38" s="1"/>
  <c r="M58" i="38"/>
  <c r="A58" i="38" s="1"/>
  <c r="L58" i="38"/>
  <c r="J58" i="38"/>
  <c r="H58" i="38"/>
  <c r="F58" i="38"/>
  <c r="M50" i="38"/>
  <c r="A50" i="38" s="1"/>
  <c r="L50" i="38"/>
  <c r="N50" i="38" s="1"/>
  <c r="J50" i="38"/>
  <c r="H50" i="38"/>
  <c r="F50" i="38"/>
  <c r="M30" i="38"/>
  <c r="A30" i="38" s="1"/>
  <c r="L30" i="38"/>
  <c r="J30" i="38"/>
  <c r="H30" i="38"/>
  <c r="F30" i="38"/>
  <c r="K30" i="38" s="1"/>
  <c r="M34" i="38"/>
  <c r="A34" i="38" s="1"/>
  <c r="L34" i="38"/>
  <c r="J34" i="38"/>
  <c r="H34" i="38"/>
  <c r="F34" i="38"/>
  <c r="M39" i="38"/>
  <c r="A39" i="38" s="1"/>
  <c r="L39" i="38"/>
  <c r="N39" i="38" s="1"/>
  <c r="J39" i="38"/>
  <c r="H39" i="38"/>
  <c r="F39" i="38"/>
  <c r="M33" i="38"/>
  <c r="A33" i="38" s="1"/>
  <c r="L33" i="38"/>
  <c r="J33" i="38"/>
  <c r="H33" i="38"/>
  <c r="F33" i="38"/>
  <c r="K33" i="38" s="1"/>
  <c r="M32" i="38"/>
  <c r="A32" i="38" s="1"/>
  <c r="L32" i="38"/>
  <c r="J32" i="38"/>
  <c r="H32" i="38"/>
  <c r="F32" i="38"/>
  <c r="K32" i="38" s="1"/>
  <c r="M31" i="38"/>
  <c r="A31" i="38" s="1"/>
  <c r="L31" i="38"/>
  <c r="J31" i="38"/>
  <c r="H31" i="38"/>
  <c r="F31" i="38"/>
  <c r="K31" i="38" s="1"/>
  <c r="M42" i="38"/>
  <c r="A42" i="38" s="1"/>
  <c r="L42" i="38"/>
  <c r="J42" i="38"/>
  <c r="K42" i="38" s="1"/>
  <c r="H42" i="38"/>
  <c r="F42" i="38"/>
  <c r="M25" i="38"/>
  <c r="A25" i="38" s="1"/>
  <c r="L25" i="38"/>
  <c r="J25" i="38"/>
  <c r="H25" i="38"/>
  <c r="F25" i="38"/>
  <c r="M29" i="38"/>
  <c r="A29" i="38" s="1"/>
  <c r="L29" i="38"/>
  <c r="J29" i="38"/>
  <c r="H29" i="38"/>
  <c r="F29" i="38"/>
  <c r="K29" i="38" s="1"/>
  <c r="M57" i="38"/>
  <c r="A57" i="38" s="1"/>
  <c r="L57" i="38"/>
  <c r="J57" i="38"/>
  <c r="H57" i="38"/>
  <c r="F57" i="38"/>
  <c r="M20" i="38"/>
  <c r="A20" i="38" s="1"/>
  <c r="L20" i="38"/>
  <c r="N20" i="38" s="1"/>
  <c r="J20" i="38"/>
  <c r="H20" i="38"/>
  <c r="F20" i="38"/>
  <c r="M35" i="38"/>
  <c r="A35" i="38" s="1"/>
  <c r="L35" i="38"/>
  <c r="J35" i="38"/>
  <c r="H35" i="38"/>
  <c r="F35" i="38"/>
  <c r="K35" i="38" s="1"/>
  <c r="M28" i="38"/>
  <c r="A28" i="38" s="1"/>
  <c r="L28" i="38"/>
  <c r="N28" i="38" s="1"/>
  <c r="J28" i="38"/>
  <c r="H28" i="38"/>
  <c r="F28" i="38"/>
  <c r="K28" i="38" s="1"/>
  <c r="M21" i="38"/>
  <c r="A21" i="38" s="1"/>
  <c r="L21" i="38"/>
  <c r="J21" i="38"/>
  <c r="H21" i="38"/>
  <c r="F21" i="38"/>
  <c r="K21" i="38" s="1"/>
  <c r="M23" i="38"/>
  <c r="A23" i="38" s="1"/>
  <c r="L23" i="38"/>
  <c r="J23" i="38"/>
  <c r="K23" i="38" s="1"/>
  <c r="H23" i="38"/>
  <c r="F23" i="38"/>
  <c r="M24" i="38"/>
  <c r="A24" i="38" s="1"/>
  <c r="L24" i="38"/>
  <c r="J24" i="38"/>
  <c r="H24" i="38"/>
  <c r="F24" i="38"/>
  <c r="M40" i="38"/>
  <c r="A40" i="38" s="1"/>
  <c r="L40" i="38"/>
  <c r="J40" i="38"/>
  <c r="H40" i="38"/>
  <c r="F40" i="38"/>
  <c r="K40" i="38" s="1"/>
  <c r="M19" i="38"/>
  <c r="A19" i="38" s="1"/>
  <c r="L19" i="38"/>
  <c r="J19" i="38"/>
  <c r="H19" i="38"/>
  <c r="F19" i="38"/>
  <c r="M38" i="38"/>
  <c r="A38" i="38" s="1"/>
  <c r="L38" i="38"/>
  <c r="N38" i="38" s="1"/>
  <c r="J38" i="38"/>
  <c r="H38" i="38"/>
  <c r="F38" i="38"/>
  <c r="M17" i="38"/>
  <c r="A17" i="38" s="1"/>
  <c r="L17" i="38"/>
  <c r="J17" i="38"/>
  <c r="H17" i="38"/>
  <c r="F17" i="38"/>
  <c r="K17" i="38" s="1"/>
  <c r="M13" i="38"/>
  <c r="A13" i="38" s="1"/>
  <c r="L13" i="38"/>
  <c r="N13" i="38" s="1"/>
  <c r="J13" i="38"/>
  <c r="H13" i="38"/>
  <c r="F13" i="38"/>
  <c r="K13" i="38" s="1"/>
  <c r="M22" i="38"/>
  <c r="A22" i="38" s="1"/>
  <c r="L22" i="38"/>
  <c r="J22" i="38"/>
  <c r="H22" i="38"/>
  <c r="F22" i="38"/>
  <c r="K22" i="38" s="1"/>
  <c r="M27" i="38"/>
  <c r="A27" i="38" s="1"/>
  <c r="L27" i="38"/>
  <c r="J27" i="38"/>
  <c r="K27" i="38" s="1"/>
  <c r="H27" i="38"/>
  <c r="F27" i="38"/>
  <c r="M15" i="38"/>
  <c r="A15" i="38" s="1"/>
  <c r="L15" i="38"/>
  <c r="N15" i="38" s="1"/>
  <c r="J15" i="38"/>
  <c r="H15" i="38"/>
  <c r="F15" i="38"/>
  <c r="M26" i="38"/>
  <c r="A26" i="38" s="1"/>
  <c r="L26" i="38"/>
  <c r="J26" i="38"/>
  <c r="H26" i="38"/>
  <c r="F26" i="38"/>
  <c r="K26" i="38" s="1"/>
  <c r="M16" i="38"/>
  <c r="A16" i="38" s="1"/>
  <c r="L16" i="38"/>
  <c r="J16" i="38"/>
  <c r="H16" i="38"/>
  <c r="F16" i="38"/>
  <c r="M12" i="38"/>
  <c r="A12" i="38" s="1"/>
  <c r="L12" i="38"/>
  <c r="N12" i="38" s="1"/>
  <c r="J12" i="38"/>
  <c r="H12" i="38"/>
  <c r="F12" i="38"/>
  <c r="M14" i="38"/>
  <c r="A14" i="38" s="1"/>
  <c r="L14" i="38"/>
  <c r="J14" i="38"/>
  <c r="H14" i="38"/>
  <c r="F14" i="38"/>
  <c r="K14" i="38" s="1"/>
  <c r="M18" i="38"/>
  <c r="A18" i="38" s="1"/>
  <c r="L18" i="38"/>
  <c r="N18" i="38" s="1"/>
  <c r="J18" i="38"/>
  <c r="H18" i="38"/>
  <c r="F18" i="38"/>
  <c r="K18" i="38" s="1"/>
  <c r="M11" i="38"/>
  <c r="A11" i="38" s="1"/>
  <c r="L11" i="38"/>
  <c r="J11" i="38"/>
  <c r="H11" i="38"/>
  <c r="F11" i="38"/>
  <c r="K11" i="38" s="1"/>
  <c r="G3" i="38"/>
  <c r="G2" i="38"/>
  <c r="R66" i="24"/>
  <c r="U64" i="24"/>
  <c r="A64" i="24" s="1"/>
  <c r="R64" i="24"/>
  <c r="S64" i="24" s="1"/>
  <c r="U60" i="24"/>
  <c r="A60" i="24" s="1"/>
  <c r="R60" i="24"/>
  <c r="S60" i="24" s="1"/>
  <c r="R62" i="24"/>
  <c r="R63" i="24"/>
  <c r="R65" i="24"/>
  <c r="R54" i="24"/>
  <c r="R67" i="24"/>
  <c r="R42" i="24"/>
  <c r="R49" i="24"/>
  <c r="R53" i="24"/>
  <c r="U67" i="24"/>
  <c r="A67" i="24" s="1"/>
  <c r="P67" i="24"/>
  <c r="N67" i="24"/>
  <c r="L67" i="24"/>
  <c r="J67" i="24"/>
  <c r="H67" i="24"/>
  <c r="F67" i="24"/>
  <c r="U54" i="24"/>
  <c r="A54" i="24" s="1"/>
  <c r="P54" i="24"/>
  <c r="N54" i="24"/>
  <c r="L54" i="24"/>
  <c r="J54" i="24"/>
  <c r="H54" i="24"/>
  <c r="F54" i="24"/>
  <c r="U65" i="24"/>
  <c r="A65" i="24" s="1"/>
  <c r="P65" i="24"/>
  <c r="N65" i="24"/>
  <c r="L65" i="24"/>
  <c r="J65" i="24"/>
  <c r="H65" i="24"/>
  <c r="F65" i="24"/>
  <c r="U63" i="24"/>
  <c r="A63" i="24" s="1"/>
  <c r="P63" i="24"/>
  <c r="N63" i="24"/>
  <c r="L63" i="24"/>
  <c r="J63" i="24"/>
  <c r="H63" i="24"/>
  <c r="F63" i="24"/>
  <c r="R12" i="24"/>
  <c r="R13" i="24"/>
  <c r="R14" i="24"/>
  <c r="R16" i="24"/>
  <c r="R17" i="24"/>
  <c r="R18" i="24"/>
  <c r="R19" i="24"/>
  <c r="R22" i="24"/>
  <c r="R15" i="24"/>
  <c r="R21" i="24"/>
  <c r="R23" i="24"/>
  <c r="R20" i="24"/>
  <c r="R26" i="24"/>
  <c r="R28" i="24"/>
  <c r="R24" i="24"/>
  <c r="R25" i="24"/>
  <c r="R27" i="24"/>
  <c r="R29" i="24"/>
  <c r="R30" i="24"/>
  <c r="R33" i="24"/>
  <c r="R34" i="24"/>
  <c r="R31" i="24"/>
  <c r="R35" i="24"/>
  <c r="R37" i="24"/>
  <c r="R38" i="24"/>
  <c r="R39" i="24"/>
  <c r="R32" i="24"/>
  <c r="R40" i="24"/>
  <c r="R36" i="24"/>
  <c r="R43" i="24"/>
  <c r="R44" i="24"/>
  <c r="R45" i="24"/>
  <c r="R46" i="24"/>
  <c r="R47" i="24"/>
  <c r="R48" i="24"/>
  <c r="R50" i="24"/>
  <c r="R51" i="24"/>
  <c r="R52" i="24"/>
  <c r="R55" i="24"/>
  <c r="R56" i="24"/>
  <c r="R57" i="24"/>
  <c r="R58" i="24"/>
  <c r="R41" i="24"/>
  <c r="R59" i="24"/>
  <c r="R61" i="24"/>
  <c r="R11" i="24"/>
  <c r="I25" i="37"/>
  <c r="G25" i="37"/>
  <c r="E25" i="37"/>
  <c r="M24" i="37"/>
  <c r="A24" i="37" s="1"/>
  <c r="L24" i="37"/>
  <c r="J24" i="37"/>
  <c r="H24" i="37"/>
  <c r="F24" i="37"/>
  <c r="M23" i="37"/>
  <c r="A23" i="37" s="1"/>
  <c r="L23" i="37"/>
  <c r="J23" i="37"/>
  <c r="H23" i="37"/>
  <c r="F23" i="37"/>
  <c r="K23" i="37" s="1"/>
  <c r="M22" i="37"/>
  <c r="A22" i="37" s="1"/>
  <c r="L22" i="37"/>
  <c r="J22" i="37"/>
  <c r="H22" i="37"/>
  <c r="F22" i="37"/>
  <c r="K22" i="37" s="1"/>
  <c r="M20" i="37"/>
  <c r="A20" i="37" s="1"/>
  <c r="L20" i="37"/>
  <c r="J20" i="37"/>
  <c r="H20" i="37"/>
  <c r="F20" i="37"/>
  <c r="K20" i="37" s="1"/>
  <c r="M18" i="37"/>
  <c r="A18" i="37" s="1"/>
  <c r="L18" i="37"/>
  <c r="J18" i="37"/>
  <c r="H18" i="37"/>
  <c r="F18" i="37"/>
  <c r="M19" i="37"/>
  <c r="A19" i="37" s="1"/>
  <c r="L19" i="37"/>
  <c r="N19" i="37" s="1"/>
  <c r="J19" i="37"/>
  <c r="H19" i="37"/>
  <c r="F19" i="37"/>
  <c r="M16" i="37"/>
  <c r="A16" i="37" s="1"/>
  <c r="L16" i="37"/>
  <c r="J16" i="37"/>
  <c r="H16" i="37"/>
  <c r="F16" i="37"/>
  <c r="M21" i="37"/>
  <c r="A21" i="37" s="1"/>
  <c r="L21" i="37"/>
  <c r="J21" i="37"/>
  <c r="H21" i="37"/>
  <c r="K21" i="37" s="1"/>
  <c r="F21" i="37"/>
  <c r="M13" i="37"/>
  <c r="A13" i="37" s="1"/>
  <c r="L13" i="37"/>
  <c r="J13" i="37"/>
  <c r="H13" i="37"/>
  <c r="F13" i="37"/>
  <c r="M17" i="37"/>
  <c r="L17" i="37"/>
  <c r="J17" i="37"/>
  <c r="H17" i="37"/>
  <c r="F17" i="37"/>
  <c r="K17" i="37" s="1"/>
  <c r="A17" i="37"/>
  <c r="M14" i="37"/>
  <c r="A14" i="37" s="1"/>
  <c r="L14" i="37"/>
  <c r="J14" i="37"/>
  <c r="H14" i="37"/>
  <c r="F14" i="37"/>
  <c r="M15" i="37"/>
  <c r="A15" i="37" s="1"/>
  <c r="L15" i="37"/>
  <c r="J15" i="37"/>
  <c r="H15" i="37"/>
  <c r="F15" i="37"/>
  <c r="M12" i="37"/>
  <c r="A12" i="37" s="1"/>
  <c r="L12" i="37"/>
  <c r="J12" i="37"/>
  <c r="H12" i="37"/>
  <c r="F12" i="37"/>
  <c r="K12" i="37" s="1"/>
  <c r="M11" i="37"/>
  <c r="A11" i="37" s="1"/>
  <c r="L11" i="37"/>
  <c r="N11" i="37" s="1"/>
  <c r="J11" i="37"/>
  <c r="H11" i="37"/>
  <c r="F11" i="37"/>
  <c r="K11" i="37" s="1"/>
  <c r="G3" i="37"/>
  <c r="G2" i="37"/>
  <c r="R21" i="13"/>
  <c r="R12" i="13"/>
  <c r="R13" i="13"/>
  <c r="R15" i="13"/>
  <c r="R16" i="13"/>
  <c r="R14" i="13"/>
  <c r="R17" i="13"/>
  <c r="R18" i="13"/>
  <c r="R19" i="13"/>
  <c r="R20" i="13"/>
  <c r="R22" i="13"/>
  <c r="R23" i="13"/>
  <c r="R24" i="13"/>
  <c r="R11" i="13"/>
  <c r="R13" i="31"/>
  <c r="R11" i="31"/>
  <c r="R15" i="31"/>
  <c r="R14" i="31"/>
  <c r="R16" i="31"/>
  <c r="R18" i="31"/>
  <c r="R19" i="31"/>
  <c r="R17" i="31"/>
  <c r="R20" i="31"/>
  <c r="R21" i="31"/>
  <c r="R22" i="31"/>
  <c r="R23" i="31"/>
  <c r="R24" i="31"/>
  <c r="R25" i="31"/>
  <c r="R12" i="31"/>
  <c r="Q12" i="2"/>
  <c r="Q13" i="2"/>
  <c r="Q14" i="2"/>
  <c r="Q15" i="2"/>
  <c r="Q16" i="2"/>
  <c r="Q17" i="2"/>
  <c r="Q18" i="2"/>
  <c r="Q19" i="2"/>
  <c r="Q11" i="2"/>
  <c r="Q27" i="9"/>
  <c r="J13" i="2"/>
  <c r="J12" i="2"/>
  <c r="J14" i="2"/>
  <c r="J15" i="2"/>
  <c r="J16" i="2"/>
  <c r="J17" i="2"/>
  <c r="J18" i="2"/>
  <c r="J19" i="2"/>
  <c r="J11" i="2"/>
  <c r="Z12" i="30"/>
  <c r="Z13" i="30"/>
  <c r="Z14" i="30"/>
  <c r="Z16" i="30"/>
  <c r="Z15" i="30"/>
  <c r="Z17" i="30"/>
  <c r="Z18" i="30"/>
  <c r="Z21" i="30"/>
  <c r="Z23" i="30"/>
  <c r="Z25" i="30"/>
  <c r="Z29" i="30"/>
  <c r="Z19" i="30"/>
  <c r="Z27" i="30"/>
  <c r="Z20" i="30"/>
  <c r="Z33" i="30"/>
  <c r="Z34" i="30"/>
  <c r="Z35" i="30"/>
  <c r="Z32" i="30"/>
  <c r="Z22" i="30"/>
  <c r="Z24" i="30"/>
  <c r="Z28" i="30"/>
  <c r="Z30" i="30"/>
  <c r="Z26" i="30"/>
  <c r="Z31" i="30"/>
  <c r="Z36" i="30"/>
  <c r="Z37" i="30"/>
  <c r="Z38" i="30"/>
  <c r="Z39" i="30"/>
  <c r="Z40" i="30"/>
  <c r="Z41" i="30"/>
  <c r="Z42" i="30"/>
  <c r="Z43" i="30"/>
  <c r="Z44" i="30"/>
  <c r="Z45" i="30"/>
  <c r="T33" i="30"/>
  <c r="AA30" i="30"/>
  <c r="A30" i="30" s="1"/>
  <c r="X30" i="30"/>
  <c r="V30" i="30"/>
  <c r="T30" i="30"/>
  <c r="R30" i="30"/>
  <c r="P30" i="30"/>
  <c r="N30" i="30"/>
  <c r="L30" i="30"/>
  <c r="J30" i="30"/>
  <c r="H30" i="30"/>
  <c r="F30" i="30"/>
  <c r="AA28" i="30"/>
  <c r="A28" i="30" s="1"/>
  <c r="X28" i="30"/>
  <c r="V28" i="30"/>
  <c r="T28" i="30"/>
  <c r="R28" i="30"/>
  <c r="P28" i="30"/>
  <c r="N28" i="30"/>
  <c r="L28" i="30"/>
  <c r="J28" i="30"/>
  <c r="H28" i="30"/>
  <c r="F28" i="30"/>
  <c r="AA24" i="30"/>
  <c r="A24" i="30" s="1"/>
  <c r="X24" i="30"/>
  <c r="V24" i="30"/>
  <c r="T24" i="30"/>
  <c r="R24" i="30"/>
  <c r="P24" i="30"/>
  <c r="N24" i="30"/>
  <c r="L24" i="30"/>
  <c r="J24" i="30"/>
  <c r="H24" i="30"/>
  <c r="F24" i="30"/>
  <c r="AA22" i="30"/>
  <c r="A22" i="30" s="1"/>
  <c r="X22" i="30"/>
  <c r="V22" i="30"/>
  <c r="T22" i="30"/>
  <c r="R22" i="30"/>
  <c r="P22" i="30"/>
  <c r="N22" i="30"/>
  <c r="L22" i="30"/>
  <c r="J22" i="30"/>
  <c r="H22" i="30"/>
  <c r="F22" i="30"/>
  <c r="AA39" i="30"/>
  <c r="A39" i="30" s="1"/>
  <c r="X39" i="30"/>
  <c r="V39" i="30"/>
  <c r="T39" i="30"/>
  <c r="R39" i="30"/>
  <c r="P39" i="30"/>
  <c r="N39" i="30"/>
  <c r="L39" i="30"/>
  <c r="J39" i="30"/>
  <c r="H39" i="30"/>
  <c r="AA38" i="30"/>
  <c r="A38" i="30" s="1"/>
  <c r="X38" i="30"/>
  <c r="V38" i="30"/>
  <c r="T38" i="30"/>
  <c r="P38" i="30"/>
  <c r="N38" i="30"/>
  <c r="L38" i="30"/>
  <c r="J38" i="30"/>
  <c r="H38" i="30"/>
  <c r="Y38" i="30"/>
  <c r="AA37" i="30"/>
  <c r="X37" i="30"/>
  <c r="V37" i="30"/>
  <c r="T37" i="30"/>
  <c r="R37" i="30"/>
  <c r="R38" i="30" s="1"/>
  <c r="P37" i="30"/>
  <c r="N37" i="30"/>
  <c r="L37" i="30"/>
  <c r="J37" i="30"/>
  <c r="H37" i="30"/>
  <c r="Y37" i="30" s="1"/>
  <c r="A37" i="30"/>
  <c r="AA36" i="30"/>
  <c r="A36" i="30" s="1"/>
  <c r="X36" i="30"/>
  <c r="V36" i="30"/>
  <c r="T36" i="30"/>
  <c r="Y36" i="30" s="1"/>
  <c r="R36" i="30"/>
  <c r="P36" i="30"/>
  <c r="N36" i="30"/>
  <c r="L36" i="30"/>
  <c r="J36" i="30"/>
  <c r="H36" i="30"/>
  <c r="AA31" i="30"/>
  <c r="A31" i="30" s="1"/>
  <c r="X31" i="30"/>
  <c r="V31" i="30"/>
  <c r="T31" i="30"/>
  <c r="R31" i="30"/>
  <c r="P31" i="30"/>
  <c r="N31" i="30"/>
  <c r="L31" i="30"/>
  <c r="J31" i="30"/>
  <c r="H31" i="30"/>
  <c r="AA26" i="30"/>
  <c r="A26" i="30" s="1"/>
  <c r="X26" i="30"/>
  <c r="V26" i="30"/>
  <c r="T26" i="30"/>
  <c r="R26" i="30"/>
  <c r="P26" i="30"/>
  <c r="N26" i="30"/>
  <c r="L26" i="30"/>
  <c r="J26" i="30"/>
  <c r="H26" i="30"/>
  <c r="T15" i="7"/>
  <c r="T17" i="7"/>
  <c r="T16" i="7"/>
  <c r="T24" i="7"/>
  <c r="T23" i="7"/>
  <c r="T21" i="7"/>
  <c r="T18" i="7"/>
  <c r="T20" i="7"/>
  <c r="T25" i="7"/>
  <c r="T26" i="7"/>
  <c r="T27" i="7"/>
  <c r="T28" i="7"/>
  <c r="T29" i="7"/>
  <c r="T12" i="7"/>
  <c r="T14" i="7"/>
  <c r="T13" i="7"/>
  <c r="T19" i="7"/>
  <c r="T22" i="7"/>
  <c r="T11" i="7"/>
  <c r="Z20" i="7"/>
  <c r="AA20" i="7"/>
  <c r="A20" i="7" s="1"/>
  <c r="X20" i="7"/>
  <c r="R20" i="7"/>
  <c r="P20" i="7"/>
  <c r="N20" i="7"/>
  <c r="L20" i="7"/>
  <c r="J20" i="7"/>
  <c r="H20" i="7"/>
  <c r="F20" i="7"/>
  <c r="Z18" i="7"/>
  <c r="AA18" i="7"/>
  <c r="A18" i="7" s="1"/>
  <c r="X18" i="7"/>
  <c r="R18" i="7"/>
  <c r="P18" i="7"/>
  <c r="N18" i="7"/>
  <c r="L18" i="7"/>
  <c r="J18" i="7"/>
  <c r="H18" i="7"/>
  <c r="F18" i="7"/>
  <c r="Z21" i="7"/>
  <c r="AA21" i="7"/>
  <c r="A21" i="7" s="1"/>
  <c r="X21" i="7"/>
  <c r="R21" i="7"/>
  <c r="P21" i="7"/>
  <c r="N21" i="7"/>
  <c r="L21" i="7"/>
  <c r="J21" i="7"/>
  <c r="H21" i="7"/>
  <c r="F21" i="7"/>
  <c r="Z23" i="7"/>
  <c r="AA23" i="7"/>
  <c r="A23" i="7" s="1"/>
  <c r="X23" i="7"/>
  <c r="R23" i="7"/>
  <c r="P23" i="7"/>
  <c r="N23" i="7"/>
  <c r="L23" i="7"/>
  <c r="J23" i="7"/>
  <c r="H23" i="7"/>
  <c r="F23" i="7"/>
  <c r="Z26" i="7"/>
  <c r="AA26" i="7"/>
  <c r="A26" i="7" s="1"/>
  <c r="X26" i="7"/>
  <c r="R26" i="7"/>
  <c r="P26" i="7"/>
  <c r="N26" i="7"/>
  <c r="L26" i="7"/>
  <c r="J26" i="7"/>
  <c r="H26" i="7"/>
  <c r="F26" i="7"/>
  <c r="Z25" i="7"/>
  <c r="AA25" i="7"/>
  <c r="A25" i="7" s="1"/>
  <c r="X25" i="7"/>
  <c r="R25" i="7"/>
  <c r="P25" i="7"/>
  <c r="N25" i="7"/>
  <c r="L25" i="7"/>
  <c r="J25" i="7"/>
  <c r="H25" i="7"/>
  <c r="F25" i="7"/>
  <c r="Z27" i="7"/>
  <c r="AA27" i="7"/>
  <c r="A27" i="7" s="1"/>
  <c r="X27" i="7"/>
  <c r="R27" i="7"/>
  <c r="P27" i="7"/>
  <c r="N27" i="7"/>
  <c r="L27" i="7"/>
  <c r="J27" i="7"/>
  <c r="H27" i="7"/>
  <c r="F27" i="7"/>
  <c r="L23" i="19"/>
  <c r="P17" i="19"/>
  <c r="A17" i="19" s="1"/>
  <c r="P19" i="19"/>
  <c r="A19" i="19" s="1"/>
  <c r="P20" i="19"/>
  <c r="A20" i="19" s="1"/>
  <c r="P16" i="19"/>
  <c r="A16" i="19" s="1"/>
  <c r="P22" i="19"/>
  <c r="A22" i="19" s="1"/>
  <c r="P23" i="19"/>
  <c r="A23" i="19" s="1"/>
  <c r="P24" i="19"/>
  <c r="P25" i="19"/>
  <c r="P26" i="19"/>
  <c r="P27" i="19"/>
  <c r="P28" i="19"/>
  <c r="P29" i="19"/>
  <c r="P30" i="19"/>
  <c r="P31" i="19"/>
  <c r="P32" i="19"/>
  <c r="P33" i="19"/>
  <c r="L15" i="35"/>
  <c r="L11" i="35"/>
  <c r="O42" i="25"/>
  <c r="V48" i="25"/>
  <c r="U48" i="25"/>
  <c r="S48" i="25"/>
  <c r="Q48" i="25"/>
  <c r="O48" i="25"/>
  <c r="M48" i="25"/>
  <c r="K48" i="25"/>
  <c r="I48" i="25"/>
  <c r="G48" i="25"/>
  <c r="A48" i="25"/>
  <c r="V41" i="25"/>
  <c r="U41" i="25"/>
  <c r="A41" i="25" s="1"/>
  <c r="S41" i="25"/>
  <c r="Q41" i="25"/>
  <c r="O41" i="25"/>
  <c r="M41" i="25"/>
  <c r="K41" i="25"/>
  <c r="I41" i="25"/>
  <c r="G41" i="25"/>
  <c r="V52" i="25"/>
  <c r="U52" i="25"/>
  <c r="A52" i="25" s="1"/>
  <c r="S52" i="25"/>
  <c r="Q52" i="25"/>
  <c r="O52" i="25"/>
  <c r="M52" i="25"/>
  <c r="K52" i="25"/>
  <c r="I52" i="25"/>
  <c r="G52" i="25"/>
  <c r="O12" i="25"/>
  <c r="O15" i="25"/>
  <c r="O14" i="25"/>
  <c r="O16" i="25"/>
  <c r="O20" i="25"/>
  <c r="O13" i="25"/>
  <c r="O18" i="25"/>
  <c r="O21" i="25"/>
  <c r="O22" i="25"/>
  <c r="O24" i="25"/>
  <c r="O17" i="25"/>
  <c r="O23" i="25"/>
  <c r="O25" i="25"/>
  <c r="O26" i="25"/>
  <c r="O28" i="25"/>
  <c r="O31" i="25"/>
  <c r="O29" i="25"/>
  <c r="O30" i="25"/>
  <c r="O32" i="25"/>
  <c r="O19" i="25"/>
  <c r="O27" i="25"/>
  <c r="O39" i="25"/>
  <c r="O40" i="25"/>
  <c r="O36" i="25"/>
  <c r="O37" i="25"/>
  <c r="O43" i="25"/>
  <c r="O46" i="25"/>
  <c r="O47" i="25"/>
  <c r="O34" i="25"/>
  <c r="O49" i="25"/>
  <c r="O44" i="25"/>
  <c r="O50" i="25"/>
  <c r="O45" i="25"/>
  <c r="O51" i="25"/>
  <c r="O33" i="25"/>
  <c r="O35" i="25"/>
  <c r="O38" i="25"/>
  <c r="O53" i="25"/>
  <c r="O54" i="25"/>
  <c r="O11" i="25"/>
  <c r="O32" i="9"/>
  <c r="V35" i="9"/>
  <c r="U35" i="9"/>
  <c r="A35" i="9" s="1"/>
  <c r="S35" i="9"/>
  <c r="Q35" i="9"/>
  <c r="O35" i="9"/>
  <c r="M35" i="9"/>
  <c r="K35" i="9"/>
  <c r="I35" i="9"/>
  <c r="G35" i="9"/>
  <c r="V33" i="9"/>
  <c r="U33" i="9"/>
  <c r="A33" i="9" s="1"/>
  <c r="S33" i="9"/>
  <c r="Q33" i="9"/>
  <c r="O33" i="9"/>
  <c r="M33" i="9"/>
  <c r="K33" i="9"/>
  <c r="I33" i="9"/>
  <c r="G33" i="9"/>
  <c r="V37" i="9"/>
  <c r="U37" i="9"/>
  <c r="A37" i="9" s="1"/>
  <c r="S37" i="9"/>
  <c r="Q37" i="9"/>
  <c r="O37" i="9"/>
  <c r="M37" i="9"/>
  <c r="K37" i="9"/>
  <c r="I37" i="9"/>
  <c r="G37" i="9"/>
  <c r="O11" i="9"/>
  <c r="J24" i="31"/>
  <c r="J12" i="31"/>
  <c r="J18" i="31"/>
  <c r="J17" i="31"/>
  <c r="J20" i="31"/>
  <c r="J23" i="31"/>
  <c r="J25" i="31"/>
  <c r="N25" i="31"/>
  <c r="S17" i="31"/>
  <c r="A17" i="31" s="1"/>
  <c r="P17" i="31"/>
  <c r="N17" i="31"/>
  <c r="H17" i="31"/>
  <c r="F17" i="31"/>
  <c r="S18" i="31"/>
  <c r="A18" i="31" s="1"/>
  <c r="P18" i="31"/>
  <c r="N18" i="31"/>
  <c r="H18" i="31"/>
  <c r="F18" i="31"/>
  <c r="S16" i="31"/>
  <c r="A16" i="31" s="1"/>
  <c r="P16" i="31"/>
  <c r="N16" i="31"/>
  <c r="J16" i="31"/>
  <c r="H16" i="31"/>
  <c r="F16" i="31"/>
  <c r="H14" i="36"/>
  <c r="H13" i="36"/>
  <c r="H12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11" i="36"/>
  <c r="R32" i="30"/>
  <c r="Z11" i="30"/>
  <c r="Z11" i="7"/>
  <c r="Z14" i="7"/>
  <c r="Z13" i="7"/>
  <c r="Z15" i="7"/>
  <c r="Z19" i="7"/>
  <c r="Z22" i="7"/>
  <c r="Z24" i="7"/>
  <c r="Z16" i="7"/>
  <c r="Z17" i="7"/>
  <c r="Z28" i="7"/>
  <c r="Z29" i="7"/>
  <c r="Z12" i="7"/>
  <c r="R16" i="7"/>
  <c r="R17" i="7"/>
  <c r="R28" i="7"/>
  <c r="R29" i="7"/>
  <c r="AA16" i="7"/>
  <c r="AA17" i="7"/>
  <c r="A17" i="7" s="1"/>
  <c r="AA28" i="7"/>
  <c r="A28" i="7" s="1"/>
  <c r="AA29" i="7"/>
  <c r="A29" i="7" s="1"/>
  <c r="X16" i="7"/>
  <c r="Y16" i="7" s="1"/>
  <c r="X17" i="7"/>
  <c r="X28" i="7"/>
  <c r="X29" i="7"/>
  <c r="A16" i="7"/>
  <c r="V28" i="7"/>
  <c r="P28" i="7"/>
  <c r="N28" i="7"/>
  <c r="L28" i="7"/>
  <c r="J28" i="7"/>
  <c r="H28" i="7"/>
  <c r="F28" i="7"/>
  <c r="L36" i="29"/>
  <c r="L15" i="28"/>
  <c r="U49" i="24"/>
  <c r="A49" i="24" s="1"/>
  <c r="U53" i="24"/>
  <c r="A53" i="24" s="1"/>
  <c r="P61" i="24"/>
  <c r="N61" i="24"/>
  <c r="L61" i="24"/>
  <c r="J61" i="24"/>
  <c r="H61" i="24"/>
  <c r="F61" i="24"/>
  <c r="L30" i="24"/>
  <c r="H36" i="24"/>
  <c r="U51" i="24"/>
  <c r="A51" i="24" s="1"/>
  <c r="U42" i="24"/>
  <c r="A42" i="24" s="1"/>
  <c r="O11" i="26"/>
  <c r="P18" i="13"/>
  <c r="J33" i="26"/>
  <c r="M12" i="25"/>
  <c r="M15" i="25"/>
  <c r="M20" i="25"/>
  <c r="M14" i="25"/>
  <c r="M18" i="25"/>
  <c r="M16" i="25"/>
  <c r="M21" i="25"/>
  <c r="M24" i="25"/>
  <c r="M22" i="25"/>
  <c r="M13" i="25"/>
  <c r="M17" i="25"/>
  <c r="M25" i="25"/>
  <c r="M23" i="25"/>
  <c r="M26" i="25"/>
  <c r="M19" i="25"/>
  <c r="M32" i="25"/>
  <c r="M29" i="25"/>
  <c r="M30" i="25"/>
  <c r="M28" i="25"/>
  <c r="M27" i="25"/>
  <c r="M31" i="25"/>
  <c r="M39" i="25"/>
  <c r="M40" i="25"/>
  <c r="M42" i="25"/>
  <c r="M36" i="25"/>
  <c r="M37" i="25"/>
  <c r="M43" i="25"/>
  <c r="M46" i="25"/>
  <c r="M47" i="25"/>
  <c r="M34" i="25"/>
  <c r="M49" i="25"/>
  <c r="M44" i="25"/>
  <c r="M50" i="25"/>
  <c r="M45" i="25"/>
  <c r="M51" i="25"/>
  <c r="M33" i="25"/>
  <c r="M35" i="25"/>
  <c r="M38" i="25"/>
  <c r="M53" i="25"/>
  <c r="M54" i="25"/>
  <c r="M11" i="25"/>
  <c r="M12" i="9"/>
  <c r="M15" i="9"/>
  <c r="M18" i="9"/>
  <c r="M14" i="9"/>
  <c r="M17" i="9"/>
  <c r="M16" i="9"/>
  <c r="M20" i="9"/>
  <c r="M21" i="9"/>
  <c r="M26" i="9"/>
  <c r="M25" i="9"/>
  <c r="M19" i="9"/>
  <c r="M31" i="9"/>
  <c r="M28" i="9"/>
  <c r="M22" i="9"/>
  <c r="M13" i="9"/>
  <c r="M27" i="9"/>
  <c r="M23" i="9"/>
  <c r="M32" i="9"/>
  <c r="M24" i="9"/>
  <c r="M34" i="9"/>
  <c r="M30" i="9"/>
  <c r="M29" i="9"/>
  <c r="M36" i="9"/>
  <c r="M38" i="9"/>
  <c r="M40" i="9"/>
  <c r="M41" i="9"/>
  <c r="M42" i="9"/>
  <c r="M39" i="9"/>
  <c r="M43" i="9"/>
  <c r="M11" i="9"/>
  <c r="O46" i="30"/>
  <c r="P45" i="30"/>
  <c r="P44" i="30"/>
  <c r="P43" i="30"/>
  <c r="P42" i="30"/>
  <c r="P41" i="30"/>
  <c r="P40" i="30"/>
  <c r="P32" i="30"/>
  <c r="P35" i="30"/>
  <c r="P34" i="30"/>
  <c r="P33" i="30"/>
  <c r="P20" i="30"/>
  <c r="P27" i="30"/>
  <c r="P19" i="30"/>
  <c r="P29" i="30"/>
  <c r="P25" i="30"/>
  <c r="P23" i="30"/>
  <c r="P21" i="30"/>
  <c r="P18" i="30"/>
  <c r="P17" i="30"/>
  <c r="P15" i="30"/>
  <c r="P16" i="30"/>
  <c r="P14" i="30"/>
  <c r="P13" i="30"/>
  <c r="P12" i="30"/>
  <c r="P11" i="30"/>
  <c r="O30" i="7"/>
  <c r="P29" i="7"/>
  <c r="P24" i="7"/>
  <c r="P22" i="7"/>
  <c r="P19" i="7"/>
  <c r="P15" i="7"/>
  <c r="P13" i="7"/>
  <c r="P14" i="7"/>
  <c r="P11" i="7"/>
  <c r="P12" i="7"/>
  <c r="N12" i="7"/>
  <c r="N11" i="7"/>
  <c r="N14" i="7"/>
  <c r="N13" i="7"/>
  <c r="N15" i="7"/>
  <c r="N19" i="7"/>
  <c r="N22" i="7"/>
  <c r="N24" i="7"/>
  <c r="N29" i="7"/>
  <c r="M30" i="7"/>
  <c r="V36" i="9"/>
  <c r="U36" i="9"/>
  <c r="A36" i="9" s="1"/>
  <c r="S36" i="9"/>
  <c r="Q36" i="9"/>
  <c r="O36" i="9"/>
  <c r="K36" i="9"/>
  <c r="I36" i="9"/>
  <c r="G36" i="9"/>
  <c r="V30" i="9"/>
  <c r="U30" i="9"/>
  <c r="A30" i="9" s="1"/>
  <c r="S30" i="9"/>
  <c r="Q30" i="9"/>
  <c r="O30" i="9"/>
  <c r="K30" i="9"/>
  <c r="I30" i="9"/>
  <c r="G30" i="9"/>
  <c r="V39" i="9"/>
  <c r="U39" i="9"/>
  <c r="A39" i="9" s="1"/>
  <c r="S39" i="9"/>
  <c r="Q39" i="9"/>
  <c r="O39" i="9"/>
  <c r="K39" i="9"/>
  <c r="I39" i="9"/>
  <c r="G39" i="9"/>
  <c r="V27" i="9"/>
  <c r="U27" i="9"/>
  <c r="A27" i="9" s="1"/>
  <c r="S27" i="9"/>
  <c r="O27" i="9"/>
  <c r="K27" i="9"/>
  <c r="I27" i="9"/>
  <c r="G27" i="9"/>
  <c r="V19" i="9"/>
  <c r="U19" i="9"/>
  <c r="A19" i="9" s="1"/>
  <c r="S19" i="9"/>
  <c r="Q19" i="9"/>
  <c r="O19" i="9"/>
  <c r="K19" i="9"/>
  <c r="I19" i="9"/>
  <c r="G19" i="9"/>
  <c r="K41" i="9"/>
  <c r="V41" i="9"/>
  <c r="U41" i="9"/>
  <c r="A41" i="9" s="1"/>
  <c r="S41" i="9"/>
  <c r="Q41" i="9"/>
  <c r="O41" i="9"/>
  <c r="I41" i="9"/>
  <c r="G41" i="9"/>
  <c r="V38" i="9"/>
  <c r="U38" i="9"/>
  <c r="A38" i="9" s="1"/>
  <c r="S38" i="9"/>
  <c r="Q38" i="9"/>
  <c r="O38" i="9"/>
  <c r="K38" i="9"/>
  <c r="I38" i="9"/>
  <c r="G38" i="9"/>
  <c r="U23" i="24"/>
  <c r="A23" i="24" s="1"/>
  <c r="P37" i="24"/>
  <c r="N37" i="24"/>
  <c r="L37" i="24"/>
  <c r="J37" i="24"/>
  <c r="H37" i="24"/>
  <c r="F37" i="24"/>
  <c r="U16" i="24"/>
  <c r="A16" i="24" s="1"/>
  <c r="P39" i="24"/>
  <c r="N39" i="24"/>
  <c r="L39" i="24"/>
  <c r="J39" i="24"/>
  <c r="H39" i="24"/>
  <c r="F39" i="24"/>
  <c r="N16" i="24"/>
  <c r="N12" i="24"/>
  <c r="N11" i="24"/>
  <c r="N14" i="24"/>
  <c r="N19" i="24"/>
  <c r="N18" i="24"/>
  <c r="N13" i="24"/>
  <c r="N23" i="24"/>
  <c r="N26" i="24"/>
  <c r="N22" i="24"/>
  <c r="N21" i="24"/>
  <c r="N29" i="24"/>
  <c r="N20" i="24"/>
  <c r="N33" i="24"/>
  <c r="N28" i="24"/>
  <c r="N15" i="24"/>
  <c r="N24" i="24"/>
  <c r="N27" i="24"/>
  <c r="N25" i="24"/>
  <c r="N32" i="24"/>
  <c r="N43" i="24"/>
  <c r="N44" i="24"/>
  <c r="N35" i="24"/>
  <c r="N48" i="24"/>
  <c r="N50" i="24"/>
  <c r="N51" i="24"/>
  <c r="N56" i="24"/>
  <c r="N57" i="24"/>
  <c r="N55" i="24"/>
  <c r="N31" i="24"/>
  <c r="N59" i="24"/>
  <c r="N46" i="24"/>
  <c r="N30" i="24"/>
  <c r="N41" i="24"/>
  <c r="N36" i="24"/>
  <c r="N34" i="24"/>
  <c r="N45" i="24"/>
  <c r="N47" i="24"/>
  <c r="N52" i="24"/>
  <c r="N38" i="24"/>
  <c r="N58" i="24"/>
  <c r="N62" i="24"/>
  <c r="N40" i="24"/>
  <c r="N17" i="24"/>
  <c r="N18" i="13"/>
  <c r="N13" i="13"/>
  <c r="N12" i="13"/>
  <c r="N15" i="13"/>
  <c r="N17" i="13"/>
  <c r="N16" i="13"/>
  <c r="N14" i="13"/>
  <c r="N19" i="13"/>
  <c r="N20" i="13"/>
  <c r="N21" i="13"/>
  <c r="N22" i="13"/>
  <c r="N23" i="13"/>
  <c r="N24" i="13"/>
  <c r="H34" i="26"/>
  <c r="H18" i="26"/>
  <c r="H11" i="26"/>
  <c r="H13" i="26"/>
  <c r="H25" i="26"/>
  <c r="H16" i="26"/>
  <c r="H17" i="26"/>
  <c r="H19" i="26"/>
  <c r="H15" i="26"/>
  <c r="H20" i="26"/>
  <c r="H27" i="26"/>
  <c r="H14" i="26"/>
  <c r="H22" i="26"/>
  <c r="H26" i="26"/>
  <c r="H31" i="26"/>
  <c r="H28" i="26"/>
  <c r="H23" i="26"/>
  <c r="H21" i="26"/>
  <c r="H32" i="26"/>
  <c r="H30" i="26"/>
  <c r="H33" i="26"/>
  <c r="H24" i="26"/>
  <c r="H29" i="26"/>
  <c r="H35" i="26"/>
  <c r="H36" i="26"/>
  <c r="H37" i="26"/>
  <c r="H38" i="26"/>
  <c r="H39" i="26"/>
  <c r="H40" i="26"/>
  <c r="H15" i="27"/>
  <c r="H12" i="27"/>
  <c r="H16" i="27"/>
  <c r="H13" i="27"/>
  <c r="H14" i="27"/>
  <c r="H17" i="27"/>
  <c r="H18" i="27"/>
  <c r="H19" i="27"/>
  <c r="H20" i="27"/>
  <c r="H21" i="27"/>
  <c r="H22" i="27"/>
  <c r="H23" i="27"/>
  <c r="F46" i="24"/>
  <c r="F48" i="24"/>
  <c r="F51" i="24"/>
  <c r="F56" i="24"/>
  <c r="F57" i="24"/>
  <c r="F55" i="24"/>
  <c r="F31" i="24"/>
  <c r="F59" i="24"/>
  <c r="F41" i="24"/>
  <c r="F36" i="24"/>
  <c r="F50" i="24"/>
  <c r="F30" i="24"/>
  <c r="F34" i="24"/>
  <c r="F45" i="24"/>
  <c r="F47" i="24"/>
  <c r="F52" i="24"/>
  <c r="F38" i="24"/>
  <c r="F58" i="24"/>
  <c r="F62" i="24"/>
  <c r="F40" i="24"/>
  <c r="L14" i="13"/>
  <c r="L13" i="13"/>
  <c r="L12" i="13"/>
  <c r="L15" i="13"/>
  <c r="L17" i="13"/>
  <c r="L16" i="13"/>
  <c r="L19" i="13"/>
  <c r="L18" i="13"/>
  <c r="L20" i="13"/>
  <c r="L21" i="13"/>
  <c r="L22" i="13"/>
  <c r="L23" i="13"/>
  <c r="L24" i="13"/>
  <c r="L11" i="13"/>
  <c r="J11" i="13"/>
  <c r="K24" i="9"/>
  <c r="K29" i="9"/>
  <c r="K32" i="9"/>
  <c r="K43" i="9"/>
  <c r="I51" i="25"/>
  <c r="N14" i="40" l="1"/>
  <c r="K35" i="40"/>
  <c r="K31" i="40"/>
  <c r="K36" i="40"/>
  <c r="K16" i="37"/>
  <c r="N11" i="38"/>
  <c r="N22" i="38"/>
  <c r="N21" i="38"/>
  <c r="N31" i="38"/>
  <c r="K58" i="38"/>
  <c r="K49" i="38"/>
  <c r="N36" i="38"/>
  <c r="N54" i="38"/>
  <c r="N56" i="38"/>
  <c r="K12" i="39"/>
  <c r="N19" i="39"/>
  <c r="K21" i="39"/>
  <c r="N16" i="40"/>
  <c r="K21" i="40"/>
  <c r="K20" i="40"/>
  <c r="N35" i="40"/>
  <c r="K15" i="39"/>
  <c r="T19" i="9"/>
  <c r="K14" i="37"/>
  <c r="K18" i="37"/>
  <c r="K16" i="38"/>
  <c r="N26" i="38"/>
  <c r="K19" i="38"/>
  <c r="N40" i="38"/>
  <c r="K57" i="38"/>
  <c r="N29" i="38"/>
  <c r="K34" i="38"/>
  <c r="K60" i="38"/>
  <c r="N61" i="38"/>
  <c r="K51" i="38"/>
  <c r="G25" i="39"/>
  <c r="E25" i="39"/>
  <c r="N15" i="39"/>
  <c r="K30" i="40"/>
  <c r="K29" i="40"/>
  <c r="K38" i="40"/>
  <c r="K19" i="39"/>
  <c r="K23" i="40"/>
  <c r="Y26" i="30"/>
  <c r="N17" i="37"/>
  <c r="N14" i="38"/>
  <c r="N33" i="38"/>
  <c r="N43" i="38"/>
  <c r="N55" i="38"/>
  <c r="N12" i="39"/>
  <c r="Y39" i="30"/>
  <c r="K15" i="38"/>
  <c r="K24" i="38"/>
  <c r="N23" i="38"/>
  <c r="K25" i="38"/>
  <c r="N42" i="38"/>
  <c r="K50" i="38"/>
  <c r="N58" i="38"/>
  <c r="K63" i="38"/>
  <c r="N45" i="38"/>
  <c r="K13" i="39"/>
  <c r="N18" i="39"/>
  <c r="K20" i="39"/>
  <c r="K14" i="40"/>
  <c r="N22" i="40"/>
  <c r="K19" i="40"/>
  <c r="K18" i="40"/>
  <c r="K27" i="40"/>
  <c r="K32" i="40"/>
  <c r="K40" i="40"/>
  <c r="K16" i="40"/>
  <c r="K33" i="40"/>
  <c r="K39" i="40"/>
  <c r="Y31" i="30"/>
  <c r="K15" i="37"/>
  <c r="N14" i="37"/>
  <c r="K13" i="37"/>
  <c r="N21" i="37"/>
  <c r="K19" i="37"/>
  <c r="K24" i="37"/>
  <c r="K12" i="38"/>
  <c r="N16" i="38"/>
  <c r="K38" i="38"/>
  <c r="N19" i="38"/>
  <c r="K20" i="38"/>
  <c r="N57" i="38"/>
  <c r="K39" i="38"/>
  <c r="N34" i="38"/>
  <c r="K59" i="38"/>
  <c r="K46" i="38"/>
  <c r="N51" i="38"/>
  <c r="K48" i="38"/>
  <c r="N30" i="40"/>
  <c r="Q18" i="31"/>
  <c r="Q16" i="31"/>
  <c r="Q17" i="31"/>
  <c r="Y28" i="30"/>
  <c r="Y26" i="7"/>
  <c r="Y18" i="7"/>
  <c r="S63" i="24"/>
  <c r="N39" i="40"/>
  <c r="N32" i="40"/>
  <c r="N36" i="40"/>
  <c r="N12" i="40"/>
  <c r="N40" i="40"/>
  <c r="N29" i="40"/>
  <c r="N28" i="40"/>
  <c r="E42" i="40"/>
  <c r="N13" i="40"/>
  <c r="N19" i="40"/>
  <c r="N25" i="40"/>
  <c r="N38" i="40"/>
  <c r="G42" i="40"/>
  <c r="N11" i="40"/>
  <c r="N24" i="40"/>
  <c r="I42" i="40"/>
  <c r="N15" i="40"/>
  <c r="N18" i="40"/>
  <c r="N34" i="40"/>
  <c r="N17" i="40"/>
  <c r="N27" i="40"/>
  <c r="N23" i="40"/>
  <c r="N31" i="40"/>
  <c r="N26" i="40"/>
  <c r="N37" i="40"/>
  <c r="N21" i="40"/>
  <c r="N20" i="40"/>
  <c r="N33" i="40"/>
  <c r="N21" i="39"/>
  <c r="N23" i="39"/>
  <c r="N22" i="39"/>
  <c r="N13" i="39"/>
  <c r="N17" i="39"/>
  <c r="I25" i="39"/>
  <c r="N16" i="39"/>
  <c r="N11" i="39"/>
  <c r="N52" i="38"/>
  <c r="N24" i="38"/>
  <c r="N25" i="38"/>
  <c r="N32" i="38"/>
  <c r="N44" i="38"/>
  <c r="N60" i="38"/>
  <c r="N62" i="38"/>
  <c r="E69" i="38"/>
  <c r="G69" i="38"/>
  <c r="I69" i="38"/>
  <c r="N41" i="38"/>
  <c r="N53" i="38"/>
  <c r="N27" i="38"/>
  <c r="N17" i="38"/>
  <c r="N35" i="38"/>
  <c r="N30" i="38"/>
  <c r="N46" i="38"/>
  <c r="N49" i="38"/>
  <c r="N66" i="38"/>
  <c r="N37" i="38"/>
  <c r="N47" i="38"/>
  <c r="S54" i="24"/>
  <c r="S65" i="24"/>
  <c r="S67" i="24"/>
  <c r="N15" i="37"/>
  <c r="N22" i="37"/>
  <c r="N12" i="37"/>
  <c r="N13" i="37"/>
  <c r="N24" i="37"/>
  <c r="N20" i="37"/>
  <c r="N16" i="37"/>
  <c r="E26" i="37"/>
  <c r="N23" i="37"/>
  <c r="G26" i="37"/>
  <c r="N18" i="37"/>
  <c r="I26" i="37"/>
  <c r="Y27" i="7"/>
  <c r="Y22" i="30"/>
  <c r="Y30" i="30"/>
  <c r="Y28" i="7"/>
  <c r="Y21" i="7"/>
  <c r="Y20" i="7"/>
  <c r="Y24" i="30"/>
  <c r="Y25" i="7"/>
  <c r="Y17" i="7"/>
  <c r="Y23" i="7"/>
  <c r="T52" i="25"/>
  <c r="T48" i="25"/>
  <c r="T41" i="25"/>
  <c r="T37" i="9"/>
  <c r="T35" i="9"/>
  <c r="T33" i="9"/>
  <c r="S53" i="24"/>
  <c r="S61" i="24"/>
  <c r="S66" i="24"/>
  <c r="S49" i="24"/>
  <c r="T39" i="9"/>
  <c r="T30" i="9"/>
  <c r="T36" i="9"/>
  <c r="T27" i="9"/>
  <c r="T41" i="9"/>
  <c r="T38" i="9"/>
  <c r="S37" i="24"/>
  <c r="S39" i="24"/>
  <c r="J17" i="29"/>
  <c r="H24" i="7"/>
  <c r="H23" i="29" l="1"/>
  <c r="H14" i="13" l="1"/>
  <c r="J47" i="24"/>
  <c r="J45" i="24"/>
  <c r="J34" i="24"/>
  <c r="J30" i="24"/>
  <c r="J50" i="24"/>
  <c r="J31" i="24"/>
  <c r="J56" i="24"/>
  <c r="J15" i="24"/>
  <c r="J36" i="24"/>
  <c r="J46" i="24"/>
  <c r="J59" i="24"/>
  <c r="J32" i="24"/>
  <c r="J55" i="24"/>
  <c r="J43" i="24"/>
  <c r="J22" i="24"/>
  <c r="J57" i="24"/>
  <c r="J51" i="24"/>
  <c r="J35" i="24"/>
  <c r="J48" i="24"/>
  <c r="J44" i="24"/>
  <c r="J33" i="24"/>
  <c r="J25" i="24"/>
  <c r="J26" i="24"/>
  <c r="J28" i="24"/>
  <c r="J21" i="24"/>
  <c r="J24" i="24"/>
  <c r="J27" i="24"/>
  <c r="J20" i="24"/>
  <c r="J18" i="24"/>
  <c r="J23" i="24"/>
  <c r="J19" i="24"/>
  <c r="J29" i="24"/>
  <c r="J13" i="24"/>
  <c r="J11" i="24"/>
  <c r="J16" i="24"/>
  <c r="J14" i="24"/>
  <c r="J12" i="24"/>
  <c r="J17" i="24"/>
  <c r="F22" i="31"/>
  <c r="F34" i="29"/>
  <c r="F26" i="28"/>
  <c r="G42" i="9"/>
  <c r="G45" i="25"/>
  <c r="K34" i="36"/>
  <c r="I34" i="36"/>
  <c r="G34" i="36"/>
  <c r="E34" i="36"/>
  <c r="L33" i="36"/>
  <c r="J33" i="36"/>
  <c r="F33" i="36"/>
  <c r="A33" i="36"/>
  <c r="L32" i="36"/>
  <c r="J32" i="36"/>
  <c r="F32" i="36"/>
  <c r="M32" i="36" s="1"/>
  <c r="A32" i="36"/>
  <c r="L31" i="36"/>
  <c r="J31" i="36"/>
  <c r="F31" i="36"/>
  <c r="M31" i="36" s="1"/>
  <c r="A31" i="36"/>
  <c r="L30" i="36"/>
  <c r="J30" i="36"/>
  <c r="F30" i="36"/>
  <c r="M30" i="36" s="1"/>
  <c r="A30" i="36"/>
  <c r="L29" i="36"/>
  <c r="J29" i="36"/>
  <c r="F29" i="36"/>
  <c r="M29" i="36" s="1"/>
  <c r="A29" i="36"/>
  <c r="L28" i="36"/>
  <c r="J28" i="36"/>
  <c r="F28" i="36"/>
  <c r="M28" i="36" s="1"/>
  <c r="A28" i="36"/>
  <c r="L27" i="36"/>
  <c r="J27" i="36"/>
  <c r="F27" i="36"/>
  <c r="M27" i="36" s="1"/>
  <c r="A27" i="36"/>
  <c r="L26" i="36"/>
  <c r="J26" i="36"/>
  <c r="F26" i="36"/>
  <c r="M26" i="36" s="1"/>
  <c r="A26" i="36"/>
  <c r="L25" i="36"/>
  <c r="J25" i="36"/>
  <c r="F25" i="36"/>
  <c r="M25" i="36" s="1"/>
  <c r="A25" i="36"/>
  <c r="N24" i="36"/>
  <c r="A24" i="36" s="1"/>
  <c r="L24" i="36"/>
  <c r="J24" i="36"/>
  <c r="F24" i="36"/>
  <c r="M24" i="36" s="1"/>
  <c r="N23" i="36"/>
  <c r="A23" i="36" s="1"/>
  <c r="L23" i="36"/>
  <c r="J23" i="36"/>
  <c r="F23" i="36"/>
  <c r="N22" i="36"/>
  <c r="A22" i="36" s="1"/>
  <c r="L22" i="36"/>
  <c r="J22" i="36"/>
  <c r="F22" i="36"/>
  <c r="M22" i="36" s="1"/>
  <c r="N21" i="36"/>
  <c r="A21" i="36" s="1"/>
  <c r="L21" i="36"/>
  <c r="J21" i="36"/>
  <c r="F21" i="36"/>
  <c r="M21" i="36" s="1"/>
  <c r="N20" i="36"/>
  <c r="A20" i="36" s="1"/>
  <c r="L20" i="36"/>
  <c r="J20" i="36"/>
  <c r="F20" i="36"/>
  <c r="M20" i="36" s="1"/>
  <c r="N19" i="36"/>
  <c r="A19" i="36" s="1"/>
  <c r="L19" i="36"/>
  <c r="J19" i="36"/>
  <c r="F19" i="36"/>
  <c r="M19" i="36" s="1"/>
  <c r="N18" i="36"/>
  <c r="A18" i="36" s="1"/>
  <c r="L18" i="36"/>
  <c r="J18" i="36"/>
  <c r="F18" i="36"/>
  <c r="M18" i="36" s="1"/>
  <c r="N17" i="36"/>
  <c r="A17" i="36" s="1"/>
  <c r="L17" i="36"/>
  <c r="J17" i="36"/>
  <c r="F17" i="36"/>
  <c r="M17" i="36" s="1"/>
  <c r="N16" i="36"/>
  <c r="A16" i="36" s="1"/>
  <c r="L16" i="36"/>
  <c r="J16" i="36"/>
  <c r="F16" i="36"/>
  <c r="M16" i="36" s="1"/>
  <c r="N15" i="36"/>
  <c r="A15" i="36" s="1"/>
  <c r="L15" i="36"/>
  <c r="J15" i="36"/>
  <c r="F15" i="36"/>
  <c r="M15" i="36" s="1"/>
  <c r="N12" i="36"/>
  <c r="A12" i="36" s="1"/>
  <c r="L12" i="36"/>
  <c r="J12" i="36"/>
  <c r="F12" i="36"/>
  <c r="N14" i="36"/>
  <c r="A14" i="36" s="1"/>
  <c r="L14" i="36"/>
  <c r="J14" i="36"/>
  <c r="F14" i="36"/>
  <c r="N13" i="36"/>
  <c r="A13" i="36" s="1"/>
  <c r="L13" i="36"/>
  <c r="J13" i="36"/>
  <c r="F13" i="36"/>
  <c r="M13" i="36" s="1"/>
  <c r="N11" i="36"/>
  <c r="A11" i="36" s="1"/>
  <c r="L11" i="36"/>
  <c r="J11" i="36"/>
  <c r="F11" i="36"/>
  <c r="M11" i="36" s="1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L33" i="35"/>
  <c r="J33" i="35"/>
  <c r="H33" i="35"/>
  <c r="F33" i="35"/>
  <c r="N32" i="35"/>
  <c r="L32" i="35"/>
  <c r="J32" i="35"/>
  <c r="H32" i="35"/>
  <c r="F32" i="35"/>
  <c r="N31" i="35"/>
  <c r="L31" i="35"/>
  <c r="J31" i="35"/>
  <c r="H31" i="35"/>
  <c r="F31" i="35"/>
  <c r="N30" i="35"/>
  <c r="L30" i="35"/>
  <c r="J30" i="35"/>
  <c r="H30" i="35"/>
  <c r="F30" i="35"/>
  <c r="N29" i="35"/>
  <c r="L29" i="35"/>
  <c r="J29" i="35"/>
  <c r="H29" i="35"/>
  <c r="F29" i="35"/>
  <c r="N28" i="35"/>
  <c r="L28" i="35"/>
  <c r="J28" i="35"/>
  <c r="H28" i="35"/>
  <c r="F28" i="35"/>
  <c r="N27" i="35"/>
  <c r="L27" i="35"/>
  <c r="J27" i="35"/>
  <c r="H27" i="35"/>
  <c r="F27" i="35"/>
  <c r="N26" i="35"/>
  <c r="L26" i="35"/>
  <c r="J26" i="35"/>
  <c r="H26" i="35"/>
  <c r="F26" i="35"/>
  <c r="N25" i="35"/>
  <c r="L25" i="35"/>
  <c r="J25" i="35"/>
  <c r="H25" i="35"/>
  <c r="F25" i="35"/>
  <c r="N24" i="35"/>
  <c r="L24" i="35"/>
  <c r="J24" i="35"/>
  <c r="H24" i="35"/>
  <c r="F24" i="35"/>
  <c r="N23" i="35"/>
  <c r="L23" i="35"/>
  <c r="J23" i="35"/>
  <c r="H23" i="35"/>
  <c r="F23" i="35"/>
  <c r="N22" i="35"/>
  <c r="L22" i="35"/>
  <c r="J22" i="35"/>
  <c r="H22" i="35"/>
  <c r="F22" i="35"/>
  <c r="N21" i="35"/>
  <c r="L21" i="35"/>
  <c r="J21" i="35"/>
  <c r="H21" i="35"/>
  <c r="F21" i="35"/>
  <c r="N20" i="35"/>
  <c r="L20" i="35"/>
  <c r="J20" i="35"/>
  <c r="H20" i="35"/>
  <c r="F20" i="35"/>
  <c r="N19" i="35"/>
  <c r="L19" i="35"/>
  <c r="J19" i="35"/>
  <c r="H19" i="35"/>
  <c r="F19" i="35"/>
  <c r="N18" i="35"/>
  <c r="L18" i="35"/>
  <c r="J18" i="35"/>
  <c r="H18" i="35"/>
  <c r="F18" i="35"/>
  <c r="P17" i="35"/>
  <c r="N17" i="35"/>
  <c r="L17" i="35"/>
  <c r="J17" i="35"/>
  <c r="H17" i="35"/>
  <c r="F17" i="35"/>
  <c r="P16" i="35"/>
  <c r="N16" i="35"/>
  <c r="L16" i="35"/>
  <c r="J16" i="35"/>
  <c r="H16" i="35"/>
  <c r="F16" i="35"/>
  <c r="P15" i="35"/>
  <c r="N15" i="35"/>
  <c r="J15" i="35"/>
  <c r="H15" i="35"/>
  <c r="F15" i="35"/>
  <c r="P14" i="35"/>
  <c r="A14" i="35" s="1"/>
  <c r="N14" i="35"/>
  <c r="L14" i="35"/>
  <c r="J14" i="35"/>
  <c r="H14" i="35"/>
  <c r="F14" i="35"/>
  <c r="P13" i="35"/>
  <c r="A13" i="35" s="1"/>
  <c r="N13" i="35"/>
  <c r="L13" i="35"/>
  <c r="J13" i="35"/>
  <c r="H13" i="35"/>
  <c r="F13" i="35"/>
  <c r="P12" i="35"/>
  <c r="A12" i="35" s="1"/>
  <c r="N12" i="35"/>
  <c r="L12" i="35"/>
  <c r="J12" i="35"/>
  <c r="H12" i="35"/>
  <c r="F12" i="35"/>
  <c r="P11" i="35"/>
  <c r="A11" i="35" s="1"/>
  <c r="N11" i="35"/>
  <c r="J11" i="35"/>
  <c r="H11" i="35"/>
  <c r="F11" i="35"/>
  <c r="N18" i="19"/>
  <c r="N11" i="19"/>
  <c r="N12" i="19"/>
  <c r="N14" i="19"/>
  <c r="N15" i="19"/>
  <c r="N13" i="19"/>
  <c r="N17" i="19"/>
  <c r="N19" i="19"/>
  <c r="N20" i="19"/>
  <c r="N16" i="19"/>
  <c r="N23" i="19"/>
  <c r="N24" i="19"/>
  <c r="N25" i="19"/>
  <c r="N26" i="19"/>
  <c r="N27" i="19"/>
  <c r="N28" i="19"/>
  <c r="N29" i="19"/>
  <c r="N30" i="19"/>
  <c r="N31" i="19"/>
  <c r="N32" i="19"/>
  <c r="N33" i="19"/>
  <c r="J18" i="19"/>
  <c r="J11" i="19"/>
  <c r="J12" i="19"/>
  <c r="J14" i="19"/>
  <c r="J15" i="19"/>
  <c r="J13" i="19"/>
  <c r="J17" i="19"/>
  <c r="J19" i="19"/>
  <c r="J20" i="19"/>
  <c r="J16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G3" i="30"/>
  <c r="T11" i="30"/>
  <c r="T14" i="30"/>
  <c r="Y14" i="30" s="1"/>
  <c r="T13" i="30"/>
  <c r="T17" i="30"/>
  <c r="T15" i="30"/>
  <c r="T16" i="30"/>
  <c r="T18" i="30"/>
  <c r="T21" i="30"/>
  <c r="T23" i="30"/>
  <c r="T25" i="30"/>
  <c r="T29" i="30"/>
  <c r="T19" i="30"/>
  <c r="T27" i="30"/>
  <c r="T20" i="30"/>
  <c r="T34" i="30"/>
  <c r="T35" i="30"/>
  <c r="T32" i="30"/>
  <c r="T40" i="30"/>
  <c r="T41" i="30"/>
  <c r="T42" i="30"/>
  <c r="T43" i="30"/>
  <c r="T44" i="30"/>
  <c r="T45" i="30"/>
  <c r="X12" i="7"/>
  <c r="X15" i="7"/>
  <c r="X14" i="7"/>
  <c r="X13" i="7"/>
  <c r="X19" i="7"/>
  <c r="X22" i="7"/>
  <c r="X24" i="7"/>
  <c r="X11" i="7"/>
  <c r="R12" i="7"/>
  <c r="R15" i="7"/>
  <c r="R14" i="7"/>
  <c r="R13" i="7"/>
  <c r="R19" i="7"/>
  <c r="R22" i="7"/>
  <c r="R24" i="7"/>
  <c r="R11" i="7"/>
  <c r="L12" i="7"/>
  <c r="L15" i="7"/>
  <c r="L14" i="7"/>
  <c r="L13" i="7"/>
  <c r="L19" i="7"/>
  <c r="L22" i="7"/>
  <c r="L24" i="7"/>
  <c r="L29" i="7"/>
  <c r="J12" i="7"/>
  <c r="J15" i="7"/>
  <c r="J14" i="7"/>
  <c r="J13" i="7"/>
  <c r="J19" i="7"/>
  <c r="J22" i="7"/>
  <c r="J24" i="7"/>
  <c r="J29" i="7"/>
  <c r="J11" i="7"/>
  <c r="H12" i="7"/>
  <c r="H15" i="7"/>
  <c r="H14" i="7"/>
  <c r="H13" i="7"/>
  <c r="H19" i="7"/>
  <c r="H22" i="7"/>
  <c r="H29" i="7"/>
  <c r="F12" i="7"/>
  <c r="Y12" i="7" s="1"/>
  <c r="F15" i="7"/>
  <c r="F14" i="7"/>
  <c r="F13" i="7"/>
  <c r="F19" i="7"/>
  <c r="F22" i="7"/>
  <c r="F24" i="7"/>
  <c r="F29" i="7"/>
  <c r="G11" i="25"/>
  <c r="G12" i="25"/>
  <c r="G17" i="25"/>
  <c r="G20" i="25"/>
  <c r="G24" i="25"/>
  <c r="G14" i="25"/>
  <c r="G16" i="25"/>
  <c r="G18" i="25"/>
  <c r="G13" i="25"/>
  <c r="G23" i="25"/>
  <c r="G22" i="25"/>
  <c r="G25" i="25"/>
  <c r="G32" i="25"/>
  <c r="G30" i="25"/>
  <c r="G21" i="25"/>
  <c r="G37" i="25"/>
  <c r="G26" i="25"/>
  <c r="G36" i="25"/>
  <c r="G27" i="25"/>
  <c r="G50" i="25"/>
  <c r="G29" i="25"/>
  <c r="G34" i="25"/>
  <c r="G51" i="25"/>
  <c r="G19" i="25"/>
  <c r="G28" i="25"/>
  <c r="G31" i="25"/>
  <c r="G39" i="25"/>
  <c r="G40" i="25"/>
  <c r="G42" i="25"/>
  <c r="G43" i="25"/>
  <c r="G46" i="25"/>
  <c r="G47" i="25"/>
  <c r="G49" i="25"/>
  <c r="G44" i="25"/>
  <c r="G33" i="25"/>
  <c r="G35" i="25"/>
  <c r="G38" i="25"/>
  <c r="G53" i="25"/>
  <c r="G54" i="25"/>
  <c r="K11" i="25"/>
  <c r="K12" i="25"/>
  <c r="K17" i="25"/>
  <c r="K20" i="25"/>
  <c r="K24" i="25"/>
  <c r="K14" i="25"/>
  <c r="K16" i="25"/>
  <c r="K18" i="25"/>
  <c r="K13" i="25"/>
  <c r="K23" i="25"/>
  <c r="K22" i="25"/>
  <c r="K25" i="25"/>
  <c r="K32" i="25"/>
  <c r="K30" i="25"/>
  <c r="K21" i="25"/>
  <c r="K37" i="25"/>
  <c r="K26" i="25"/>
  <c r="K36" i="25"/>
  <c r="K27" i="25"/>
  <c r="K50" i="25"/>
  <c r="K29" i="25"/>
  <c r="K45" i="25"/>
  <c r="K34" i="25"/>
  <c r="K51" i="25"/>
  <c r="K19" i="25"/>
  <c r="K28" i="25"/>
  <c r="K31" i="25"/>
  <c r="K39" i="25"/>
  <c r="K40" i="25"/>
  <c r="K42" i="25"/>
  <c r="K43" i="25"/>
  <c r="K46" i="25"/>
  <c r="K47" i="25"/>
  <c r="K49" i="25"/>
  <c r="K44" i="25"/>
  <c r="K33" i="25"/>
  <c r="K35" i="25"/>
  <c r="K38" i="25"/>
  <c r="K53" i="25"/>
  <c r="K54" i="25"/>
  <c r="Q11" i="25"/>
  <c r="Q12" i="25"/>
  <c r="Q17" i="25"/>
  <c r="Q20" i="25"/>
  <c r="T20" i="25" s="1"/>
  <c r="Q24" i="25"/>
  <c r="T24" i="25" s="1"/>
  <c r="Q14" i="25"/>
  <c r="T14" i="25" s="1"/>
  <c r="Q16" i="25"/>
  <c r="T16" i="25" s="1"/>
  <c r="Q18" i="25"/>
  <c r="T18" i="25" s="1"/>
  <c r="Q13" i="25"/>
  <c r="Q23" i="25"/>
  <c r="T23" i="25" s="1"/>
  <c r="Q22" i="25"/>
  <c r="T22" i="25" s="1"/>
  <c r="Q25" i="25"/>
  <c r="T25" i="25" s="1"/>
  <c r="Q32" i="25"/>
  <c r="Q30" i="25"/>
  <c r="Q21" i="25"/>
  <c r="T21" i="25" s="1"/>
  <c r="Q37" i="25"/>
  <c r="Q26" i="25"/>
  <c r="T26" i="25" s="1"/>
  <c r="Q36" i="25"/>
  <c r="Q27" i="25"/>
  <c r="T27" i="25" s="1"/>
  <c r="Q50" i="25"/>
  <c r="Q29" i="25"/>
  <c r="T29" i="25" s="1"/>
  <c r="Q45" i="25"/>
  <c r="Q34" i="25"/>
  <c r="Q51" i="25"/>
  <c r="Q19" i="25"/>
  <c r="Q28" i="25"/>
  <c r="T28" i="25" s="1"/>
  <c r="Q31" i="25"/>
  <c r="T31" i="25" s="1"/>
  <c r="Q39" i="25"/>
  <c r="Q40" i="25"/>
  <c r="Q42" i="25"/>
  <c r="Q43" i="25"/>
  <c r="Q46" i="25"/>
  <c r="Q47" i="25"/>
  <c r="Q49" i="25"/>
  <c r="Q44" i="25"/>
  <c r="Q33" i="25"/>
  <c r="Q35" i="25"/>
  <c r="Q38" i="25"/>
  <c r="Q53" i="25"/>
  <c r="Q54" i="25"/>
  <c r="G11" i="9"/>
  <c r="G14" i="9"/>
  <c r="G12" i="9"/>
  <c r="G17" i="9"/>
  <c r="G21" i="9"/>
  <c r="G18" i="9"/>
  <c r="G16" i="9"/>
  <c r="G20" i="9"/>
  <c r="G31" i="9"/>
  <c r="G25" i="9"/>
  <c r="G26" i="9"/>
  <c r="G23" i="9"/>
  <c r="G22" i="9"/>
  <c r="G34" i="9"/>
  <c r="G28" i="9"/>
  <c r="G40" i="9"/>
  <c r="G13" i="9"/>
  <c r="G24" i="9"/>
  <c r="G29" i="9"/>
  <c r="G32" i="9"/>
  <c r="G43" i="9"/>
  <c r="R11" i="29"/>
  <c r="R13" i="29"/>
  <c r="R12" i="29"/>
  <c r="R21" i="29"/>
  <c r="R14" i="29"/>
  <c r="R18" i="29"/>
  <c r="R19" i="29"/>
  <c r="R15" i="29"/>
  <c r="S15" i="29" s="1"/>
  <c r="R17" i="29"/>
  <c r="R40" i="29"/>
  <c r="R23" i="29"/>
  <c r="R42" i="29"/>
  <c r="R20" i="29"/>
  <c r="P11" i="29"/>
  <c r="P13" i="29"/>
  <c r="P12" i="29"/>
  <c r="P21" i="29"/>
  <c r="P14" i="29"/>
  <c r="P18" i="29"/>
  <c r="P19" i="29"/>
  <c r="P15" i="29"/>
  <c r="P17" i="29"/>
  <c r="P40" i="29"/>
  <c r="P23" i="29"/>
  <c r="N11" i="29"/>
  <c r="N13" i="29"/>
  <c r="N12" i="29"/>
  <c r="N21" i="29"/>
  <c r="N14" i="29"/>
  <c r="N18" i="29"/>
  <c r="N19" i="29"/>
  <c r="N15" i="29"/>
  <c r="N17" i="29"/>
  <c r="N40" i="29"/>
  <c r="N23" i="29"/>
  <c r="N42" i="29"/>
  <c r="N20" i="29"/>
  <c r="L11" i="29"/>
  <c r="L13" i="29"/>
  <c r="L12" i="29"/>
  <c r="L21" i="29"/>
  <c r="L14" i="29"/>
  <c r="L18" i="29"/>
  <c r="L19" i="29"/>
  <c r="L15" i="29"/>
  <c r="L17" i="29"/>
  <c r="L40" i="29"/>
  <c r="L23" i="29"/>
  <c r="L42" i="29"/>
  <c r="J11" i="29"/>
  <c r="J13" i="29"/>
  <c r="J12" i="29"/>
  <c r="J21" i="29"/>
  <c r="J14" i="29"/>
  <c r="J18" i="29"/>
  <c r="J19" i="29"/>
  <c r="J15" i="29"/>
  <c r="H11" i="29"/>
  <c r="H13" i="29"/>
  <c r="H12" i="29"/>
  <c r="H21" i="29"/>
  <c r="H14" i="29"/>
  <c r="H18" i="29"/>
  <c r="H19" i="29"/>
  <c r="H15" i="29"/>
  <c r="H17" i="29"/>
  <c r="H40" i="29"/>
  <c r="H42" i="29"/>
  <c r="F11" i="29"/>
  <c r="F13" i="29"/>
  <c r="F12" i="29"/>
  <c r="F21" i="29"/>
  <c r="F14" i="29"/>
  <c r="F18" i="29"/>
  <c r="F19" i="29"/>
  <c r="F15" i="29"/>
  <c r="F17" i="29"/>
  <c r="F40" i="29"/>
  <c r="F23" i="29"/>
  <c r="E53" i="29"/>
  <c r="F45" i="29"/>
  <c r="F26" i="29"/>
  <c r="F30" i="29"/>
  <c r="F31" i="29"/>
  <c r="F39" i="29"/>
  <c r="F35" i="29"/>
  <c r="F36" i="29"/>
  <c r="F25" i="29"/>
  <c r="F50" i="29"/>
  <c r="F28" i="29"/>
  <c r="F24" i="29"/>
  <c r="F43" i="29"/>
  <c r="F41" i="29"/>
  <c r="F48" i="29"/>
  <c r="F52" i="29"/>
  <c r="F22" i="29"/>
  <c r="F27" i="29"/>
  <c r="F33" i="29"/>
  <c r="F16" i="29"/>
  <c r="F32" i="29"/>
  <c r="F46" i="29"/>
  <c r="F29" i="29"/>
  <c r="F37" i="29"/>
  <c r="F51" i="29"/>
  <c r="F49" i="29"/>
  <c r="F44" i="29"/>
  <c r="F38" i="29"/>
  <c r="F47" i="29"/>
  <c r="H45" i="29"/>
  <c r="H26" i="29"/>
  <c r="H30" i="29"/>
  <c r="H31" i="29"/>
  <c r="H39" i="29"/>
  <c r="H35" i="29"/>
  <c r="H36" i="29"/>
  <c r="H25" i="29"/>
  <c r="H50" i="29"/>
  <c r="H34" i="29"/>
  <c r="H28" i="29"/>
  <c r="H24" i="29"/>
  <c r="H43" i="29"/>
  <c r="H41" i="29"/>
  <c r="H48" i="29"/>
  <c r="H22" i="29"/>
  <c r="H27" i="29"/>
  <c r="H33" i="29"/>
  <c r="H16" i="29"/>
  <c r="H32" i="29"/>
  <c r="H46" i="29"/>
  <c r="H29" i="29"/>
  <c r="H37" i="29"/>
  <c r="H51" i="29"/>
  <c r="H49" i="29"/>
  <c r="H44" i="29"/>
  <c r="H38" i="29"/>
  <c r="H47" i="29"/>
  <c r="J45" i="29"/>
  <c r="J26" i="29"/>
  <c r="J30" i="29"/>
  <c r="J31" i="29"/>
  <c r="J39" i="29"/>
  <c r="J35" i="29"/>
  <c r="J36" i="29"/>
  <c r="J25" i="29"/>
  <c r="J50" i="29"/>
  <c r="J34" i="29"/>
  <c r="J28" i="29"/>
  <c r="J24" i="29"/>
  <c r="J43" i="29"/>
  <c r="J41" i="29"/>
  <c r="J48" i="29"/>
  <c r="J52" i="29"/>
  <c r="J22" i="29"/>
  <c r="J27" i="29"/>
  <c r="J33" i="29"/>
  <c r="J16" i="29"/>
  <c r="J32" i="29"/>
  <c r="J46" i="29"/>
  <c r="J29" i="29"/>
  <c r="J37" i="29"/>
  <c r="J51" i="29"/>
  <c r="J49" i="29"/>
  <c r="J44" i="29"/>
  <c r="J38" i="29"/>
  <c r="J47" i="29"/>
  <c r="L45" i="29"/>
  <c r="L26" i="29"/>
  <c r="L30" i="29"/>
  <c r="L31" i="29"/>
  <c r="L39" i="29"/>
  <c r="L35" i="29"/>
  <c r="L25" i="29"/>
  <c r="L50" i="29"/>
  <c r="L34" i="29"/>
  <c r="L28" i="29"/>
  <c r="L24" i="29"/>
  <c r="L43" i="29"/>
  <c r="L41" i="29"/>
  <c r="L48" i="29"/>
  <c r="L52" i="29"/>
  <c r="L22" i="29"/>
  <c r="L27" i="29"/>
  <c r="L33" i="29"/>
  <c r="L16" i="29"/>
  <c r="L32" i="29"/>
  <c r="L46" i="29"/>
  <c r="L29" i="29"/>
  <c r="L37" i="29"/>
  <c r="L51" i="29"/>
  <c r="L49" i="29"/>
  <c r="L44" i="29"/>
  <c r="L38" i="29"/>
  <c r="L47" i="29"/>
  <c r="L20" i="29"/>
  <c r="N45" i="29"/>
  <c r="N26" i="29"/>
  <c r="N30" i="29"/>
  <c r="N31" i="29"/>
  <c r="N39" i="29"/>
  <c r="N35" i="29"/>
  <c r="N36" i="29"/>
  <c r="N25" i="29"/>
  <c r="N50" i="29"/>
  <c r="N34" i="29"/>
  <c r="N28" i="29"/>
  <c r="N24" i="29"/>
  <c r="N43" i="29"/>
  <c r="N41" i="29"/>
  <c r="N48" i="29"/>
  <c r="N52" i="29"/>
  <c r="N22" i="29"/>
  <c r="N27" i="29"/>
  <c r="N33" i="29"/>
  <c r="N16" i="29"/>
  <c r="N32" i="29"/>
  <c r="N46" i="29"/>
  <c r="N29" i="29"/>
  <c r="N37" i="29"/>
  <c r="N51" i="29"/>
  <c r="N44" i="29"/>
  <c r="N38" i="29"/>
  <c r="N47" i="29"/>
  <c r="P45" i="29"/>
  <c r="P26" i="29"/>
  <c r="P30" i="29"/>
  <c r="P31" i="29"/>
  <c r="P39" i="29"/>
  <c r="P35" i="29"/>
  <c r="P36" i="29"/>
  <c r="P25" i="29"/>
  <c r="P50" i="29"/>
  <c r="P34" i="29"/>
  <c r="P28" i="29"/>
  <c r="P24" i="29"/>
  <c r="P43" i="29"/>
  <c r="P41" i="29"/>
  <c r="P48" i="29"/>
  <c r="P52" i="29"/>
  <c r="P22" i="29"/>
  <c r="P27" i="29"/>
  <c r="P33" i="29"/>
  <c r="P16" i="29"/>
  <c r="P32" i="29"/>
  <c r="P46" i="29"/>
  <c r="P29" i="29"/>
  <c r="P37" i="29"/>
  <c r="P51" i="29"/>
  <c r="P44" i="29"/>
  <c r="P38" i="29"/>
  <c r="P47" i="29"/>
  <c r="R45" i="29"/>
  <c r="R26" i="29"/>
  <c r="R30" i="29"/>
  <c r="R31" i="29"/>
  <c r="R39" i="29"/>
  <c r="R35" i="29"/>
  <c r="R36" i="29"/>
  <c r="R25" i="29"/>
  <c r="R50" i="29"/>
  <c r="R34" i="29"/>
  <c r="R28" i="29"/>
  <c r="R24" i="29"/>
  <c r="R43" i="29"/>
  <c r="R41" i="29"/>
  <c r="R48" i="29"/>
  <c r="R52" i="29"/>
  <c r="R22" i="29"/>
  <c r="R27" i="29"/>
  <c r="R33" i="29"/>
  <c r="R16" i="29"/>
  <c r="R32" i="29"/>
  <c r="R46" i="29"/>
  <c r="R29" i="29"/>
  <c r="R37" i="29"/>
  <c r="R51" i="29"/>
  <c r="R49" i="29"/>
  <c r="R44" i="29"/>
  <c r="R38" i="29"/>
  <c r="R47" i="29"/>
  <c r="U12" i="29"/>
  <c r="U28" i="29"/>
  <c r="A28" i="29" s="1"/>
  <c r="U30" i="29"/>
  <c r="A30" i="29" s="1"/>
  <c r="U31" i="29"/>
  <c r="A31" i="29" s="1"/>
  <c r="U40" i="29"/>
  <c r="A40" i="29" s="1"/>
  <c r="U24" i="29"/>
  <c r="A24" i="29" s="1"/>
  <c r="U42" i="29"/>
  <c r="A42" i="29" s="1"/>
  <c r="U36" i="29"/>
  <c r="A36" i="29" s="1"/>
  <c r="U20" i="29"/>
  <c r="A20" i="29" s="1"/>
  <c r="U35" i="29"/>
  <c r="A35" i="29" s="1"/>
  <c r="U45" i="29"/>
  <c r="A45" i="29" s="1"/>
  <c r="U34" i="29"/>
  <c r="A34" i="29" s="1"/>
  <c r="U25" i="29"/>
  <c r="U39" i="29"/>
  <c r="A39" i="29" s="1"/>
  <c r="U43" i="29"/>
  <c r="A43" i="29" s="1"/>
  <c r="U41" i="29"/>
  <c r="A41" i="29" s="1"/>
  <c r="U48" i="29"/>
  <c r="A48" i="29" s="1"/>
  <c r="U50" i="29"/>
  <c r="A50" i="29" s="1"/>
  <c r="U52" i="29"/>
  <c r="A52" i="29" s="1"/>
  <c r="U22" i="29"/>
  <c r="A22" i="29" s="1"/>
  <c r="U27" i="29"/>
  <c r="U33" i="29"/>
  <c r="A33" i="29" s="1"/>
  <c r="U16" i="29"/>
  <c r="U32" i="29"/>
  <c r="A32" i="29" s="1"/>
  <c r="U46" i="29"/>
  <c r="U29" i="29"/>
  <c r="A29" i="29" s="1"/>
  <c r="U37" i="29"/>
  <c r="U51" i="29"/>
  <c r="A51" i="29" s="1"/>
  <c r="U49" i="29"/>
  <c r="U44" i="29"/>
  <c r="A44" i="29" s="1"/>
  <c r="U38" i="29"/>
  <c r="A38" i="29" s="1"/>
  <c r="U47" i="29"/>
  <c r="A47" i="29" s="1"/>
  <c r="A12" i="29"/>
  <c r="F16" i="28"/>
  <c r="F15" i="28"/>
  <c r="F13" i="28"/>
  <c r="F11" i="28"/>
  <c r="F14" i="28"/>
  <c r="F20" i="28"/>
  <c r="F19" i="28"/>
  <c r="F18" i="28"/>
  <c r="F17" i="28"/>
  <c r="F24" i="28"/>
  <c r="F21" i="28"/>
  <c r="F29" i="28"/>
  <c r="F23" i="28"/>
  <c r="F25" i="28"/>
  <c r="F27" i="28"/>
  <c r="F28" i="28"/>
  <c r="F22" i="28"/>
  <c r="F30" i="28"/>
  <c r="H16" i="28"/>
  <c r="H15" i="28"/>
  <c r="H13" i="28"/>
  <c r="H11" i="28"/>
  <c r="H14" i="28"/>
  <c r="H20" i="28"/>
  <c r="H19" i="28"/>
  <c r="H17" i="28"/>
  <c r="H24" i="28"/>
  <c r="H21" i="28"/>
  <c r="H26" i="28"/>
  <c r="H29" i="28"/>
  <c r="H23" i="28"/>
  <c r="H25" i="28"/>
  <c r="H27" i="28"/>
  <c r="H28" i="28"/>
  <c r="H22" i="28"/>
  <c r="H30" i="28"/>
  <c r="J16" i="28"/>
  <c r="J15" i="28"/>
  <c r="J13" i="28"/>
  <c r="J11" i="28"/>
  <c r="J14" i="28"/>
  <c r="J20" i="28"/>
  <c r="J19" i="28"/>
  <c r="J17" i="28"/>
  <c r="J24" i="28"/>
  <c r="J21" i="28"/>
  <c r="J26" i="28"/>
  <c r="J29" i="28"/>
  <c r="J23" i="28"/>
  <c r="J25" i="28"/>
  <c r="J27" i="28"/>
  <c r="J28" i="28"/>
  <c r="J22" i="28"/>
  <c r="J30" i="28"/>
  <c r="L16" i="28"/>
  <c r="L13" i="28"/>
  <c r="L11" i="28"/>
  <c r="L14" i="28"/>
  <c r="L20" i="28"/>
  <c r="L19" i="28"/>
  <c r="L18" i="28"/>
  <c r="L17" i="28"/>
  <c r="L24" i="28"/>
  <c r="L21" i="28"/>
  <c r="L26" i="28"/>
  <c r="L29" i="28"/>
  <c r="L23" i="28"/>
  <c r="L25" i="28"/>
  <c r="L27" i="28"/>
  <c r="L28" i="28"/>
  <c r="L22" i="28"/>
  <c r="L30" i="28"/>
  <c r="N16" i="28"/>
  <c r="N15" i="28"/>
  <c r="N13" i="28"/>
  <c r="N14" i="28"/>
  <c r="N20" i="28"/>
  <c r="N19" i="28"/>
  <c r="N18" i="28"/>
  <c r="N17" i="28"/>
  <c r="N24" i="28"/>
  <c r="N21" i="28"/>
  <c r="N26" i="28"/>
  <c r="N29" i="28"/>
  <c r="N23" i="28"/>
  <c r="N27" i="28"/>
  <c r="N28" i="28"/>
  <c r="N22" i="28"/>
  <c r="N30" i="28"/>
  <c r="P16" i="28"/>
  <c r="P15" i="28"/>
  <c r="P13" i="28"/>
  <c r="P11" i="28"/>
  <c r="P14" i="28"/>
  <c r="P20" i="28"/>
  <c r="P19" i="28"/>
  <c r="P18" i="28"/>
  <c r="P17" i="28"/>
  <c r="P24" i="28"/>
  <c r="P21" i="28"/>
  <c r="P26" i="28"/>
  <c r="P29" i="28"/>
  <c r="P23" i="28"/>
  <c r="P25" i="28"/>
  <c r="P27" i="28"/>
  <c r="P28" i="28"/>
  <c r="P22" i="28"/>
  <c r="P30" i="28"/>
  <c r="R16" i="28"/>
  <c r="R15" i="28"/>
  <c r="R13" i="28"/>
  <c r="R11" i="28"/>
  <c r="R14" i="28"/>
  <c r="R20" i="28"/>
  <c r="R19" i="28"/>
  <c r="R18" i="28"/>
  <c r="R17" i="28"/>
  <c r="R24" i="28"/>
  <c r="R21" i="28"/>
  <c r="R26" i="28"/>
  <c r="R29" i="28"/>
  <c r="R23" i="28"/>
  <c r="R25" i="28"/>
  <c r="R27" i="28"/>
  <c r="R28" i="28"/>
  <c r="R22" i="28"/>
  <c r="R30" i="28"/>
  <c r="P47" i="24"/>
  <c r="P52" i="24"/>
  <c r="P38" i="24"/>
  <c r="P58" i="24"/>
  <c r="P62" i="24"/>
  <c r="P40" i="24"/>
  <c r="P17" i="24"/>
  <c r="P14" i="24"/>
  <c r="P16" i="24"/>
  <c r="P11" i="24"/>
  <c r="P29" i="24"/>
  <c r="P13" i="24"/>
  <c r="P23" i="24"/>
  <c r="P18" i="24"/>
  <c r="P35" i="24"/>
  <c r="P22" i="24"/>
  <c r="P32" i="24"/>
  <c r="P46" i="24"/>
  <c r="P19" i="24"/>
  <c r="P20" i="24"/>
  <c r="P27" i="24"/>
  <c r="P24" i="24"/>
  <c r="P21" i="24"/>
  <c r="P28" i="24"/>
  <c r="P26" i="24"/>
  <c r="P25" i="24"/>
  <c r="P33" i="24"/>
  <c r="P44" i="24"/>
  <c r="P48" i="24"/>
  <c r="P51" i="24"/>
  <c r="P57" i="24"/>
  <c r="P43" i="24"/>
  <c r="P55" i="24"/>
  <c r="P59" i="24"/>
  <c r="P36" i="24"/>
  <c r="P15" i="24"/>
  <c r="P56" i="24"/>
  <c r="P31" i="24"/>
  <c r="P41" i="24"/>
  <c r="P50" i="24"/>
  <c r="P30" i="24"/>
  <c r="P34" i="24"/>
  <c r="P45" i="24"/>
  <c r="L47" i="24"/>
  <c r="L52" i="24"/>
  <c r="L38" i="24"/>
  <c r="L58" i="24"/>
  <c r="L62" i="24"/>
  <c r="L40" i="24"/>
  <c r="L17" i="24"/>
  <c r="L14" i="24"/>
  <c r="L16" i="24"/>
  <c r="L11" i="24"/>
  <c r="L29" i="24"/>
  <c r="L13" i="24"/>
  <c r="L23" i="24"/>
  <c r="L18" i="24"/>
  <c r="L35" i="24"/>
  <c r="L22" i="24"/>
  <c r="L32" i="24"/>
  <c r="L46" i="24"/>
  <c r="L19" i="24"/>
  <c r="L20" i="24"/>
  <c r="L27" i="24"/>
  <c r="L24" i="24"/>
  <c r="L21" i="24"/>
  <c r="L28" i="24"/>
  <c r="L26" i="24"/>
  <c r="L25" i="24"/>
  <c r="L33" i="24"/>
  <c r="L44" i="24"/>
  <c r="L48" i="24"/>
  <c r="L51" i="24"/>
  <c r="L57" i="24"/>
  <c r="L43" i="24"/>
  <c r="L55" i="24"/>
  <c r="L59" i="24"/>
  <c r="L36" i="24"/>
  <c r="L15" i="24"/>
  <c r="L56" i="24"/>
  <c r="L31" i="24"/>
  <c r="L41" i="24"/>
  <c r="L50" i="24"/>
  <c r="L34" i="24"/>
  <c r="L45" i="24"/>
  <c r="J52" i="24"/>
  <c r="J38" i="24"/>
  <c r="J58" i="24"/>
  <c r="J62" i="24"/>
  <c r="J40" i="24"/>
  <c r="H47" i="24"/>
  <c r="H52" i="24"/>
  <c r="H38" i="24"/>
  <c r="H58" i="24"/>
  <c r="H62" i="24"/>
  <c r="H40" i="24"/>
  <c r="H17" i="24"/>
  <c r="H14" i="24"/>
  <c r="H16" i="24"/>
  <c r="H11" i="24"/>
  <c r="H29" i="24"/>
  <c r="H13" i="24"/>
  <c r="S13" i="24" s="1"/>
  <c r="H23" i="24"/>
  <c r="H18" i="24"/>
  <c r="H35" i="24"/>
  <c r="H22" i="24"/>
  <c r="H32" i="24"/>
  <c r="H46" i="24"/>
  <c r="H19" i="24"/>
  <c r="H20" i="24"/>
  <c r="H27" i="24"/>
  <c r="H24" i="24"/>
  <c r="H21" i="24"/>
  <c r="H28" i="24"/>
  <c r="H26" i="24"/>
  <c r="H25" i="24"/>
  <c r="H33" i="24"/>
  <c r="H44" i="24"/>
  <c r="H48" i="24"/>
  <c r="H51" i="24"/>
  <c r="H57" i="24"/>
  <c r="H43" i="24"/>
  <c r="H55" i="24"/>
  <c r="H59" i="24"/>
  <c r="H15" i="24"/>
  <c r="H56" i="24"/>
  <c r="H31" i="24"/>
  <c r="H41" i="24"/>
  <c r="H50" i="24"/>
  <c r="H30" i="24"/>
  <c r="H34" i="24"/>
  <c r="H45" i="24"/>
  <c r="F17" i="24"/>
  <c r="F14" i="24"/>
  <c r="F16" i="24"/>
  <c r="F11" i="24"/>
  <c r="F29" i="24"/>
  <c r="F13" i="24"/>
  <c r="F23" i="24"/>
  <c r="F18" i="24"/>
  <c r="F35" i="24"/>
  <c r="F22" i="24"/>
  <c r="F32" i="24"/>
  <c r="F19" i="24"/>
  <c r="F20" i="24"/>
  <c r="F27" i="24"/>
  <c r="F24" i="24"/>
  <c r="F21" i="24"/>
  <c r="F28" i="24"/>
  <c r="F26" i="24"/>
  <c r="F25" i="24"/>
  <c r="F33" i="24"/>
  <c r="F44" i="24"/>
  <c r="F43" i="24"/>
  <c r="F15" i="24"/>
  <c r="P15" i="13"/>
  <c r="P13" i="13"/>
  <c r="P16" i="13"/>
  <c r="P12" i="13"/>
  <c r="P14" i="13"/>
  <c r="S14" i="13" s="1"/>
  <c r="P17" i="13"/>
  <c r="P19" i="13"/>
  <c r="P20" i="13"/>
  <c r="P21" i="13"/>
  <c r="P22" i="13"/>
  <c r="P23" i="13"/>
  <c r="P24" i="13"/>
  <c r="H11" i="13"/>
  <c r="H15" i="13"/>
  <c r="H13" i="13"/>
  <c r="S13" i="13" s="1"/>
  <c r="H16" i="13"/>
  <c r="H12" i="13"/>
  <c r="J13" i="13"/>
  <c r="J16" i="13"/>
  <c r="J12" i="13"/>
  <c r="S12" i="13" s="1"/>
  <c r="J17" i="13"/>
  <c r="J19" i="13"/>
  <c r="J18" i="13"/>
  <c r="J20" i="13"/>
  <c r="J21" i="13"/>
  <c r="J22" i="13"/>
  <c r="J23" i="13"/>
  <c r="J24" i="13"/>
  <c r="H22" i="13"/>
  <c r="H23" i="13"/>
  <c r="H24" i="13"/>
  <c r="F15" i="13"/>
  <c r="F13" i="13"/>
  <c r="F16" i="13"/>
  <c r="F12" i="13"/>
  <c r="F14" i="13"/>
  <c r="F17" i="13"/>
  <c r="F19" i="13"/>
  <c r="F18" i="13"/>
  <c r="F20" i="13"/>
  <c r="F21" i="13"/>
  <c r="F22" i="13"/>
  <c r="F23" i="13"/>
  <c r="F24" i="13"/>
  <c r="F11" i="13"/>
  <c r="J20" i="26"/>
  <c r="J27" i="26"/>
  <c r="J14" i="26"/>
  <c r="J22" i="26"/>
  <c r="J26" i="26"/>
  <c r="J31" i="26"/>
  <c r="J28" i="26"/>
  <c r="J34" i="26"/>
  <c r="J23" i="26"/>
  <c r="J21" i="26"/>
  <c r="J32" i="26"/>
  <c r="J30" i="26"/>
  <c r="J24" i="26"/>
  <c r="J29" i="26"/>
  <c r="J35" i="26"/>
  <c r="J36" i="26"/>
  <c r="J37" i="26"/>
  <c r="J38" i="26"/>
  <c r="J39" i="26"/>
  <c r="J40" i="26"/>
  <c r="J18" i="26"/>
  <c r="J11" i="26"/>
  <c r="J13" i="26"/>
  <c r="J25" i="26"/>
  <c r="J16" i="26"/>
  <c r="J17" i="26"/>
  <c r="J19" i="26"/>
  <c r="J15" i="26"/>
  <c r="F18" i="26"/>
  <c r="F11" i="26"/>
  <c r="M11" i="26" s="1"/>
  <c r="F13" i="26"/>
  <c r="F25" i="26"/>
  <c r="F16" i="26"/>
  <c r="F17" i="26"/>
  <c r="F19" i="26"/>
  <c r="F15" i="26"/>
  <c r="F20" i="26"/>
  <c r="F14" i="26"/>
  <c r="F22" i="26"/>
  <c r="F26" i="26"/>
  <c r="F31" i="26"/>
  <c r="F28" i="26"/>
  <c r="F34" i="26"/>
  <c r="F23" i="26"/>
  <c r="F21" i="26"/>
  <c r="F32" i="26"/>
  <c r="F30" i="26"/>
  <c r="F33" i="26"/>
  <c r="M33" i="26" s="1"/>
  <c r="F24" i="26"/>
  <c r="F29" i="26"/>
  <c r="F35" i="26"/>
  <c r="F36" i="26"/>
  <c r="F37" i="26"/>
  <c r="F38" i="26"/>
  <c r="F39" i="26"/>
  <c r="F40" i="26"/>
  <c r="M40" i="26" s="1"/>
  <c r="J16" i="27"/>
  <c r="J18" i="34"/>
  <c r="J19" i="34"/>
  <c r="J20" i="34"/>
  <c r="J21" i="34"/>
  <c r="J22" i="34"/>
  <c r="M22" i="34" s="1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M21" i="34" s="1"/>
  <c r="L22" i="34"/>
  <c r="L23" i="34"/>
  <c r="L24" i="34"/>
  <c r="L25" i="34"/>
  <c r="L26" i="34"/>
  <c r="L27" i="34"/>
  <c r="L28" i="34"/>
  <c r="L29" i="34"/>
  <c r="M29" i="34" s="1"/>
  <c r="L30" i="34"/>
  <c r="L31" i="34"/>
  <c r="L32" i="34"/>
  <c r="L33" i="34"/>
  <c r="K34" i="34"/>
  <c r="I34" i="34"/>
  <c r="A33" i="34"/>
  <c r="A32" i="34"/>
  <c r="A31" i="34"/>
  <c r="M30" i="34"/>
  <c r="A30" i="34"/>
  <c r="A29" i="34"/>
  <c r="A28" i="34"/>
  <c r="A27" i="34"/>
  <c r="A26" i="34"/>
  <c r="A25" i="34"/>
  <c r="N24" i="34"/>
  <c r="A24" i="34"/>
  <c r="N23" i="34"/>
  <c r="A23" i="34" s="1"/>
  <c r="N22" i="34"/>
  <c r="A22" i="34" s="1"/>
  <c r="N21" i="34"/>
  <c r="A21" i="34" s="1"/>
  <c r="N20" i="34"/>
  <c r="A20" i="34" s="1"/>
  <c r="N19" i="34"/>
  <c r="A19" i="34" s="1"/>
  <c r="N18" i="34"/>
  <c r="A18" i="34" s="1"/>
  <c r="L18" i="34"/>
  <c r="N17" i="34"/>
  <c r="A17" i="34" s="1"/>
  <c r="L17" i="34"/>
  <c r="J17" i="34"/>
  <c r="N16" i="34"/>
  <c r="A16" i="34" s="1"/>
  <c r="L16" i="34"/>
  <c r="J16" i="34"/>
  <c r="N15" i="34"/>
  <c r="A15" i="34" s="1"/>
  <c r="L15" i="34"/>
  <c r="J15" i="34"/>
  <c r="N14" i="34"/>
  <c r="A14" i="34" s="1"/>
  <c r="L14" i="34"/>
  <c r="J14" i="34"/>
  <c r="N13" i="34"/>
  <c r="A13" i="34" s="1"/>
  <c r="L13" i="34"/>
  <c r="J13" i="34"/>
  <c r="N12" i="34"/>
  <c r="A12" i="34" s="1"/>
  <c r="L12" i="34"/>
  <c r="J12" i="34"/>
  <c r="N11" i="34"/>
  <c r="A11" i="34" s="1"/>
  <c r="L11" i="34"/>
  <c r="J11" i="34"/>
  <c r="S15" i="25"/>
  <c r="S12" i="25"/>
  <c r="S20" i="25"/>
  <c r="S24" i="25"/>
  <c r="S17" i="25"/>
  <c r="S18" i="25"/>
  <c r="S14" i="25"/>
  <c r="S16" i="25"/>
  <c r="S13" i="25"/>
  <c r="S23" i="25"/>
  <c r="S22" i="25"/>
  <c r="S25" i="25"/>
  <c r="S32" i="25"/>
  <c r="S30" i="25"/>
  <c r="S21" i="25"/>
  <c r="S37" i="25"/>
  <c r="S26" i="25"/>
  <c r="S36" i="25"/>
  <c r="S27" i="25"/>
  <c r="S50" i="25"/>
  <c r="S29" i="25"/>
  <c r="S45" i="25"/>
  <c r="S34" i="25"/>
  <c r="S51" i="25"/>
  <c r="S19" i="25"/>
  <c r="S28" i="25"/>
  <c r="S31" i="25"/>
  <c r="S39" i="25"/>
  <c r="S40" i="25"/>
  <c r="S42" i="25"/>
  <c r="S43" i="25"/>
  <c r="S46" i="25"/>
  <c r="S47" i="25"/>
  <c r="S49" i="25"/>
  <c r="S44" i="25"/>
  <c r="S33" i="25"/>
  <c r="S35" i="25"/>
  <c r="S38" i="25"/>
  <c r="S53" i="25"/>
  <c r="S54" i="25"/>
  <c r="S11" i="25"/>
  <c r="V11" i="9"/>
  <c r="S15" i="9"/>
  <c r="S14" i="9"/>
  <c r="S12" i="9"/>
  <c r="S17" i="9"/>
  <c r="S21" i="9"/>
  <c r="S16" i="9"/>
  <c r="S18" i="9"/>
  <c r="S31" i="9"/>
  <c r="S25" i="9"/>
  <c r="S20" i="9"/>
  <c r="S26" i="9"/>
  <c r="S23" i="9"/>
  <c r="S22" i="9"/>
  <c r="S34" i="9"/>
  <c r="S28" i="9"/>
  <c r="S40" i="9"/>
  <c r="S42" i="9"/>
  <c r="S13" i="9"/>
  <c r="S24" i="9"/>
  <c r="S29" i="9"/>
  <c r="S32" i="9"/>
  <c r="S43" i="9"/>
  <c r="S11" i="9"/>
  <c r="T11" i="29"/>
  <c r="T23" i="29"/>
  <c r="T17" i="29"/>
  <c r="T15" i="29"/>
  <c r="T14" i="29"/>
  <c r="T21" i="29"/>
  <c r="T19" i="29"/>
  <c r="T18" i="29"/>
  <c r="T26" i="29"/>
  <c r="T13" i="29"/>
  <c r="T31" i="29"/>
  <c r="T24" i="29"/>
  <c r="T42" i="29"/>
  <c r="T28" i="29"/>
  <c r="T36" i="29"/>
  <c r="T35" i="29"/>
  <c r="T34" i="29"/>
  <c r="T30" i="29"/>
  <c r="T25" i="29"/>
  <c r="T39" i="29"/>
  <c r="T43" i="29"/>
  <c r="T41" i="29"/>
  <c r="T45" i="29"/>
  <c r="T48" i="29"/>
  <c r="T52" i="29"/>
  <c r="T16" i="29"/>
  <c r="T46" i="29"/>
  <c r="T29" i="29"/>
  <c r="T37" i="29"/>
  <c r="T32" i="29"/>
  <c r="T51" i="29"/>
  <c r="T49" i="29"/>
  <c r="T44" i="29"/>
  <c r="T38" i="29"/>
  <c r="T20" i="29"/>
  <c r="T50" i="29"/>
  <c r="T27" i="29"/>
  <c r="T22" i="29"/>
  <c r="T33" i="29"/>
  <c r="T47" i="29"/>
  <c r="T40" i="29"/>
  <c r="P42" i="29"/>
  <c r="P20" i="29"/>
  <c r="A27" i="29"/>
  <c r="P12" i="28"/>
  <c r="U18" i="28"/>
  <c r="A18" i="28" s="1"/>
  <c r="U23" i="28"/>
  <c r="A23" i="28" s="1"/>
  <c r="R12" i="28"/>
  <c r="P12" i="31"/>
  <c r="N13" i="2"/>
  <c r="N12" i="2"/>
  <c r="X16" i="30"/>
  <c r="X25" i="30"/>
  <c r="X29" i="30"/>
  <c r="X19" i="30"/>
  <c r="X27" i="30"/>
  <c r="X20" i="30"/>
  <c r="X33" i="30"/>
  <c r="X34" i="30"/>
  <c r="X35" i="30"/>
  <c r="X32" i="30"/>
  <c r="X40" i="30"/>
  <c r="X41" i="30"/>
  <c r="X42" i="30"/>
  <c r="X43" i="30"/>
  <c r="X44" i="30"/>
  <c r="X45" i="30"/>
  <c r="X13" i="30"/>
  <c r="Y13" i="30" s="1"/>
  <c r="X23" i="30"/>
  <c r="W30" i="7"/>
  <c r="L11" i="2"/>
  <c r="L13" i="2"/>
  <c r="L14" i="2"/>
  <c r="L15" i="2"/>
  <c r="L16" i="2"/>
  <c r="L17" i="2"/>
  <c r="L18" i="2"/>
  <c r="L19" i="2"/>
  <c r="L12" i="2"/>
  <c r="V12" i="30"/>
  <c r="V14" i="30"/>
  <c r="V13" i="30"/>
  <c r="V17" i="30"/>
  <c r="V15" i="30"/>
  <c r="V16" i="30"/>
  <c r="V23" i="30"/>
  <c r="V18" i="30"/>
  <c r="V21" i="30"/>
  <c r="V29" i="30"/>
  <c r="V19" i="30"/>
  <c r="V27" i="30"/>
  <c r="V20" i="30"/>
  <c r="V33" i="30"/>
  <c r="V34" i="30"/>
  <c r="V35" i="30"/>
  <c r="V32" i="30"/>
  <c r="V40" i="30"/>
  <c r="V41" i="30"/>
  <c r="V42" i="30"/>
  <c r="V43" i="30"/>
  <c r="V44" i="30"/>
  <c r="V45" i="30"/>
  <c r="V11" i="30"/>
  <c r="V29" i="7"/>
  <c r="U30" i="7"/>
  <c r="T12" i="30"/>
  <c r="S46" i="30"/>
  <c r="N21" i="19"/>
  <c r="J21" i="19"/>
  <c r="L18" i="19"/>
  <c r="L11" i="19"/>
  <c r="L12" i="19"/>
  <c r="L14" i="19"/>
  <c r="L15" i="19"/>
  <c r="L13" i="19"/>
  <c r="L17" i="19"/>
  <c r="L19" i="19"/>
  <c r="L20" i="19"/>
  <c r="L16" i="19"/>
  <c r="L22" i="19"/>
  <c r="L24" i="19"/>
  <c r="L25" i="19"/>
  <c r="L26" i="19"/>
  <c r="L27" i="19"/>
  <c r="L28" i="19"/>
  <c r="L29" i="19"/>
  <c r="L30" i="19"/>
  <c r="L31" i="19"/>
  <c r="L32" i="19"/>
  <c r="L33" i="19"/>
  <c r="L21" i="19"/>
  <c r="I34" i="19"/>
  <c r="K34" i="19"/>
  <c r="M53" i="29"/>
  <c r="A49" i="29"/>
  <c r="N12" i="28"/>
  <c r="T11" i="13"/>
  <c r="J11" i="27"/>
  <c r="O38" i="26"/>
  <c r="N38" i="26"/>
  <c r="A38" i="26" s="1"/>
  <c r="O36" i="26"/>
  <c r="N36" i="26"/>
  <c r="A36" i="26" s="1"/>
  <c r="O29" i="26"/>
  <c r="N29" i="26"/>
  <c r="A29" i="26" s="1"/>
  <c r="O32" i="26"/>
  <c r="N32" i="26"/>
  <c r="A32" i="26" s="1"/>
  <c r="O34" i="26"/>
  <c r="N34" i="26"/>
  <c r="A34" i="26" s="1"/>
  <c r="O20" i="26"/>
  <c r="N20" i="26"/>
  <c r="A20" i="26" s="1"/>
  <c r="U26" i="24"/>
  <c r="A26" i="24" s="1"/>
  <c r="U43" i="24"/>
  <c r="A43" i="24" s="1"/>
  <c r="T12" i="13"/>
  <c r="T15" i="13"/>
  <c r="T17" i="13"/>
  <c r="T13" i="13"/>
  <c r="T14" i="13"/>
  <c r="T16" i="13"/>
  <c r="T18" i="13"/>
  <c r="T19" i="13"/>
  <c r="T21" i="13"/>
  <c r="T22" i="13"/>
  <c r="T23" i="13"/>
  <c r="T20" i="13"/>
  <c r="T24" i="13"/>
  <c r="V36" i="25"/>
  <c r="Q40" i="9"/>
  <c r="Q13" i="9"/>
  <c r="Q24" i="9"/>
  <c r="Q29" i="9"/>
  <c r="Q32" i="9"/>
  <c r="Q43" i="9"/>
  <c r="Q26" i="9"/>
  <c r="V14" i="9"/>
  <c r="V15" i="9"/>
  <c r="V12" i="9"/>
  <c r="V17" i="9"/>
  <c r="V21" i="9"/>
  <c r="V16" i="9"/>
  <c r="V18" i="9"/>
  <c r="V25" i="9"/>
  <c r="V26" i="9"/>
  <c r="V23" i="9"/>
  <c r="V20" i="9"/>
  <c r="V22" i="9"/>
  <c r="W22" i="9" s="1"/>
  <c r="V31" i="9"/>
  <c r="V34" i="9"/>
  <c r="V28" i="9"/>
  <c r="V42" i="9"/>
  <c r="V40" i="9"/>
  <c r="V13" i="9"/>
  <c r="V24" i="9"/>
  <c r="V29" i="9"/>
  <c r="W29" i="9" s="1"/>
  <c r="V32" i="9"/>
  <c r="V43" i="9"/>
  <c r="Q14" i="9"/>
  <c r="Q15" i="9"/>
  <c r="Q12" i="9"/>
  <c r="Q17" i="9"/>
  <c r="Q21" i="9"/>
  <c r="Q16" i="9"/>
  <c r="Q18" i="9"/>
  <c r="Q25" i="9"/>
  <c r="Q23" i="9"/>
  <c r="Q20" i="9"/>
  <c r="Q22" i="9"/>
  <c r="Q31" i="9"/>
  <c r="Q34" i="9"/>
  <c r="Q28" i="9"/>
  <c r="Q42" i="9"/>
  <c r="Q11" i="9"/>
  <c r="T11" i="9" s="1"/>
  <c r="V15" i="25"/>
  <c r="V20" i="25"/>
  <c r="V14" i="25"/>
  <c r="V24" i="25"/>
  <c r="V12" i="25"/>
  <c r="V17" i="25"/>
  <c r="V18" i="25"/>
  <c r="V16" i="25"/>
  <c r="V23" i="25"/>
  <c r="V22" i="25"/>
  <c r="V13" i="25"/>
  <c r="V25" i="25"/>
  <c r="V30" i="25"/>
  <c r="V32" i="25"/>
  <c r="V26" i="25"/>
  <c r="V45" i="25"/>
  <c r="V34" i="25"/>
  <c r="V37" i="25"/>
  <c r="V21" i="25"/>
  <c r="V27" i="25"/>
  <c r="V50" i="25"/>
  <c r="V29" i="25"/>
  <c r="V51" i="25"/>
  <c r="V19" i="25"/>
  <c r="V28" i="25"/>
  <c r="V31" i="25"/>
  <c r="V39" i="25"/>
  <c r="V40" i="25"/>
  <c r="V42" i="25"/>
  <c r="V43" i="25"/>
  <c r="V46" i="25"/>
  <c r="V47" i="25"/>
  <c r="V49" i="25"/>
  <c r="V44" i="25"/>
  <c r="V33" i="25"/>
  <c r="V35" i="25"/>
  <c r="V38" i="25"/>
  <c r="V53" i="25"/>
  <c r="V54" i="25"/>
  <c r="V11" i="25"/>
  <c r="Q15" i="25"/>
  <c r="AA43" i="30"/>
  <c r="A43" i="30" s="1"/>
  <c r="R43" i="30"/>
  <c r="R44" i="30" s="1"/>
  <c r="N43" i="30"/>
  <c r="L43" i="30"/>
  <c r="J43" i="30"/>
  <c r="H43" i="30"/>
  <c r="AA42" i="30"/>
  <c r="A42" i="30" s="1"/>
  <c r="R42" i="30"/>
  <c r="N42" i="30"/>
  <c r="L42" i="30"/>
  <c r="J42" i="30"/>
  <c r="H42" i="30"/>
  <c r="AA32" i="30"/>
  <c r="A32" i="30" s="1"/>
  <c r="N32" i="30"/>
  <c r="L32" i="30"/>
  <c r="J32" i="30"/>
  <c r="H32" i="30"/>
  <c r="F32" i="30"/>
  <c r="AA34" i="30"/>
  <c r="A34" i="30" s="1"/>
  <c r="R34" i="30"/>
  <c r="N34" i="30"/>
  <c r="L34" i="30"/>
  <c r="J34" i="30"/>
  <c r="H34" i="30"/>
  <c r="F34" i="30"/>
  <c r="AA20" i="30"/>
  <c r="A20" i="30" s="1"/>
  <c r="R20" i="30"/>
  <c r="N20" i="30"/>
  <c r="L20" i="30"/>
  <c r="J20" i="30"/>
  <c r="H20" i="30"/>
  <c r="F20" i="30"/>
  <c r="AA40" i="30"/>
  <c r="A40" i="30" s="1"/>
  <c r="R40" i="30"/>
  <c r="N40" i="30"/>
  <c r="L40" i="30"/>
  <c r="J40" i="30"/>
  <c r="H40" i="30"/>
  <c r="AA29" i="30"/>
  <c r="A29" i="30" s="1"/>
  <c r="R29" i="30"/>
  <c r="N29" i="30"/>
  <c r="L29" i="30"/>
  <c r="J29" i="30"/>
  <c r="H29" i="30"/>
  <c r="F29" i="30"/>
  <c r="AA27" i="30"/>
  <c r="A27" i="30" s="1"/>
  <c r="R27" i="30"/>
  <c r="N27" i="30"/>
  <c r="L27" i="30"/>
  <c r="J27" i="30"/>
  <c r="H27" i="30"/>
  <c r="F27" i="30"/>
  <c r="AA41" i="30"/>
  <c r="A41" i="30" s="1"/>
  <c r="R41" i="30"/>
  <c r="N41" i="30"/>
  <c r="L41" i="30"/>
  <c r="J41" i="30"/>
  <c r="H41" i="30"/>
  <c r="R12" i="30"/>
  <c r="R14" i="30"/>
  <c r="R17" i="30"/>
  <c r="R13" i="30"/>
  <c r="R15" i="30"/>
  <c r="R16" i="30"/>
  <c r="R23" i="30"/>
  <c r="R18" i="30"/>
  <c r="R21" i="30"/>
  <c r="R25" i="30"/>
  <c r="R35" i="30"/>
  <c r="R19" i="30"/>
  <c r="R33" i="30"/>
  <c r="R45" i="30"/>
  <c r="R11" i="30"/>
  <c r="U43" i="25"/>
  <c r="A43" i="25" s="1"/>
  <c r="I43" i="25"/>
  <c r="U42" i="25"/>
  <c r="A42" i="25" s="1"/>
  <c r="I42" i="25"/>
  <c r="U39" i="25"/>
  <c r="A39" i="25" s="1"/>
  <c r="I39" i="25"/>
  <c r="U51" i="25"/>
  <c r="A51" i="25" s="1"/>
  <c r="U38" i="25"/>
  <c r="A38" i="25" s="1"/>
  <c r="I38" i="25"/>
  <c r="U44" i="25"/>
  <c r="A44" i="25" s="1"/>
  <c r="I44" i="25"/>
  <c r="O22" i="9"/>
  <c r="O18" i="9"/>
  <c r="O26" i="9"/>
  <c r="O25" i="9"/>
  <c r="O20" i="9"/>
  <c r="O31" i="9"/>
  <c r="O34" i="9"/>
  <c r="O28" i="9"/>
  <c r="O40" i="9"/>
  <c r="O42" i="9"/>
  <c r="O29" i="9"/>
  <c r="O24" i="9"/>
  <c r="O13" i="9"/>
  <c r="O43" i="9"/>
  <c r="S20" i="31"/>
  <c r="A20" i="31" s="1"/>
  <c r="P20" i="31"/>
  <c r="N20" i="31"/>
  <c r="H20" i="31"/>
  <c r="F20" i="31"/>
  <c r="S22" i="31"/>
  <c r="A22" i="31" s="1"/>
  <c r="P22" i="31"/>
  <c r="N22" i="31"/>
  <c r="J22" i="31"/>
  <c r="H22" i="31"/>
  <c r="S24" i="31"/>
  <c r="A24" i="31" s="1"/>
  <c r="P24" i="31"/>
  <c r="N24" i="31"/>
  <c r="H24" i="31"/>
  <c r="F24" i="31"/>
  <c r="Q24" i="31" s="1"/>
  <c r="N11" i="31"/>
  <c r="N13" i="31"/>
  <c r="N14" i="31"/>
  <c r="N19" i="31"/>
  <c r="N15" i="31"/>
  <c r="N23" i="31"/>
  <c r="N21" i="31"/>
  <c r="N12" i="31"/>
  <c r="AA45" i="30"/>
  <c r="A45" i="30" s="1"/>
  <c r="N45" i="30"/>
  <c r="L45" i="30"/>
  <c r="J45" i="30"/>
  <c r="H45" i="30"/>
  <c r="N12" i="30"/>
  <c r="N14" i="30"/>
  <c r="N17" i="30"/>
  <c r="N15" i="30"/>
  <c r="N13" i="30"/>
  <c r="N16" i="30"/>
  <c r="N23" i="30"/>
  <c r="N18" i="30"/>
  <c r="N25" i="30"/>
  <c r="N35" i="30"/>
  <c r="N21" i="30"/>
  <c r="N19" i="30"/>
  <c r="N44" i="30"/>
  <c r="N33" i="30"/>
  <c r="N11" i="30"/>
  <c r="O39" i="26"/>
  <c r="N39" i="26"/>
  <c r="A39" i="26" s="1"/>
  <c r="O35" i="26"/>
  <c r="N35" i="26"/>
  <c r="A35" i="26" s="1"/>
  <c r="O24" i="26"/>
  <c r="N24" i="26"/>
  <c r="A24" i="26" s="1"/>
  <c r="O37" i="26"/>
  <c r="N37" i="26"/>
  <c r="A37" i="26" s="1"/>
  <c r="O30" i="26"/>
  <c r="N30" i="26"/>
  <c r="A30" i="26" s="1"/>
  <c r="O23" i="26"/>
  <c r="N23" i="26"/>
  <c r="A23" i="26" s="1"/>
  <c r="O26" i="26"/>
  <c r="N26" i="26"/>
  <c r="A26" i="26" s="1"/>
  <c r="O19" i="26"/>
  <c r="N19" i="26"/>
  <c r="A19" i="26" s="1"/>
  <c r="O22" i="26"/>
  <c r="N22" i="26"/>
  <c r="A22" i="26" s="1"/>
  <c r="O16" i="26"/>
  <c r="N16" i="26"/>
  <c r="A16" i="26" s="1"/>
  <c r="J12" i="26"/>
  <c r="P12" i="24"/>
  <c r="P11" i="13"/>
  <c r="U22" i="13"/>
  <c r="A22" i="13" s="1"/>
  <c r="U28" i="28"/>
  <c r="A28" i="28" s="1"/>
  <c r="U25" i="28"/>
  <c r="A25" i="28" s="1"/>
  <c r="U30" i="28"/>
  <c r="A30" i="28" s="1"/>
  <c r="L12" i="28"/>
  <c r="J13" i="27"/>
  <c r="J15" i="27"/>
  <c r="J14" i="27"/>
  <c r="J18" i="27"/>
  <c r="J19" i="27"/>
  <c r="J20" i="27"/>
  <c r="J21" i="27"/>
  <c r="J17" i="27"/>
  <c r="J22" i="27"/>
  <c r="J23" i="27"/>
  <c r="J12" i="27"/>
  <c r="J11" i="31"/>
  <c r="J13" i="31"/>
  <c r="J14" i="31"/>
  <c r="J19" i="31"/>
  <c r="J15" i="31"/>
  <c r="J21" i="31"/>
  <c r="H21" i="19"/>
  <c r="G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16" i="19"/>
  <c r="H20" i="19"/>
  <c r="H19" i="19"/>
  <c r="H17" i="19"/>
  <c r="H13" i="19"/>
  <c r="H15" i="19"/>
  <c r="H14" i="19"/>
  <c r="H12" i="19"/>
  <c r="H11" i="19"/>
  <c r="H18" i="19"/>
  <c r="L11" i="30"/>
  <c r="L14" i="30"/>
  <c r="L17" i="30"/>
  <c r="L15" i="30"/>
  <c r="L13" i="30"/>
  <c r="L16" i="30"/>
  <c r="L23" i="30"/>
  <c r="L18" i="30"/>
  <c r="L25" i="30"/>
  <c r="L35" i="30"/>
  <c r="L21" i="30"/>
  <c r="L19" i="30"/>
  <c r="L44" i="30"/>
  <c r="L33" i="30"/>
  <c r="L12" i="30"/>
  <c r="K46" i="30"/>
  <c r="I30" i="7"/>
  <c r="N11" i="13"/>
  <c r="M68" i="24"/>
  <c r="U61" i="24"/>
  <c r="A61" i="24" s="1"/>
  <c r="U57" i="24"/>
  <c r="A57" i="24" s="1"/>
  <c r="U11" i="24"/>
  <c r="A11" i="24" s="1"/>
  <c r="U62" i="24"/>
  <c r="A62" i="24" s="1"/>
  <c r="U45" i="24"/>
  <c r="A45" i="24" s="1"/>
  <c r="U21" i="24"/>
  <c r="A21" i="24" s="1"/>
  <c r="U38" i="24"/>
  <c r="A38" i="24" s="1"/>
  <c r="U14" i="24"/>
  <c r="A14" i="24" s="1"/>
  <c r="U17" i="24"/>
  <c r="A17" i="24" s="1"/>
  <c r="U41" i="24"/>
  <c r="A41" i="24" s="1"/>
  <c r="U15" i="24"/>
  <c r="A15" i="24" s="1"/>
  <c r="U52" i="24"/>
  <c r="A52" i="24" s="1"/>
  <c r="U22" i="24"/>
  <c r="A22" i="24" s="1"/>
  <c r="O31" i="26"/>
  <c r="N31" i="26"/>
  <c r="A31" i="26" s="1"/>
  <c r="O25" i="26"/>
  <c r="N25" i="26"/>
  <c r="A25" i="26" s="1"/>
  <c r="H12" i="26"/>
  <c r="H11" i="27"/>
  <c r="F12" i="27"/>
  <c r="K22" i="9"/>
  <c r="K14" i="9"/>
  <c r="K15" i="9"/>
  <c r="K16" i="9"/>
  <c r="K12" i="9"/>
  <c r="K21" i="9"/>
  <c r="K20" i="9"/>
  <c r="K17" i="9"/>
  <c r="K23" i="9"/>
  <c r="K18" i="9"/>
  <c r="K25" i="9"/>
  <c r="K31" i="9"/>
  <c r="K26" i="9"/>
  <c r="K34" i="9"/>
  <c r="K40" i="9"/>
  <c r="K28" i="9"/>
  <c r="K42" i="9"/>
  <c r="K13" i="9"/>
  <c r="K11" i="9"/>
  <c r="U35" i="25"/>
  <c r="A35" i="25" s="1"/>
  <c r="I35" i="25"/>
  <c r="U49" i="25"/>
  <c r="A49" i="25" s="1"/>
  <c r="I49" i="25"/>
  <c r="U53" i="25"/>
  <c r="A53" i="25" s="1"/>
  <c r="I53" i="25"/>
  <c r="U46" i="25"/>
  <c r="A46" i="25" s="1"/>
  <c r="I46" i="25"/>
  <c r="U50" i="25"/>
  <c r="A50" i="25" s="1"/>
  <c r="I50" i="25"/>
  <c r="U47" i="25"/>
  <c r="A47" i="25" s="1"/>
  <c r="I47" i="25"/>
  <c r="G3" i="31"/>
  <c r="M26" i="31"/>
  <c r="I26" i="31"/>
  <c r="G3" i="2"/>
  <c r="K20" i="2"/>
  <c r="I20" i="2"/>
  <c r="G3" i="29"/>
  <c r="O31" i="28"/>
  <c r="P44" i="9"/>
  <c r="P55" i="25"/>
  <c r="Q46" i="30"/>
  <c r="M46" i="30"/>
  <c r="U46" i="30"/>
  <c r="S30" i="7"/>
  <c r="Q30" i="7"/>
  <c r="F13" i="19"/>
  <c r="H19" i="31"/>
  <c r="H13" i="31"/>
  <c r="H15" i="31"/>
  <c r="H14" i="31"/>
  <c r="H11" i="31"/>
  <c r="H23" i="31"/>
  <c r="H21" i="31"/>
  <c r="H25" i="31"/>
  <c r="H12" i="31"/>
  <c r="G20" i="2"/>
  <c r="H19" i="2"/>
  <c r="H18" i="2"/>
  <c r="H17" i="2"/>
  <c r="H16" i="2"/>
  <c r="H15" i="2"/>
  <c r="H14" i="2"/>
  <c r="H13" i="2"/>
  <c r="H11" i="2"/>
  <c r="H12" i="2"/>
  <c r="G2" i="31"/>
  <c r="K27" i="31" s="1"/>
  <c r="G26" i="31"/>
  <c r="M34" i="19"/>
  <c r="P21" i="19"/>
  <c r="A21" i="19" s="1"/>
  <c r="F21" i="19"/>
  <c r="O26" i="31"/>
  <c r="E26" i="31"/>
  <c r="S25" i="31"/>
  <c r="A25" i="31" s="1"/>
  <c r="P25" i="31"/>
  <c r="F25" i="31"/>
  <c r="S21" i="31"/>
  <c r="A21" i="31" s="1"/>
  <c r="P21" i="31"/>
  <c r="F21" i="31"/>
  <c r="S23" i="31"/>
  <c r="A23" i="31" s="1"/>
  <c r="P23" i="31"/>
  <c r="F23" i="31"/>
  <c r="S11" i="31"/>
  <c r="A11" i="31" s="1"/>
  <c r="P11" i="31"/>
  <c r="F11" i="31"/>
  <c r="Q11" i="31" s="1"/>
  <c r="S14" i="31"/>
  <c r="A14" i="31" s="1"/>
  <c r="P14" i="31"/>
  <c r="F14" i="31"/>
  <c r="Q14" i="31" s="1"/>
  <c r="S15" i="31"/>
  <c r="A15" i="31" s="1"/>
  <c r="P15" i="31"/>
  <c r="F15" i="31"/>
  <c r="S13" i="31"/>
  <c r="A13" i="31" s="1"/>
  <c r="P13" i="31"/>
  <c r="Q13" i="31" s="1"/>
  <c r="F13" i="31"/>
  <c r="S19" i="31"/>
  <c r="A19" i="31" s="1"/>
  <c r="F19" i="31"/>
  <c r="S12" i="31"/>
  <c r="A12" i="31" s="1"/>
  <c r="F12" i="31"/>
  <c r="G2" i="2"/>
  <c r="P17" i="2"/>
  <c r="N17" i="2"/>
  <c r="F17" i="2"/>
  <c r="P16" i="2"/>
  <c r="N16" i="2"/>
  <c r="F16" i="2"/>
  <c r="P15" i="2"/>
  <c r="A15" i="2" s="1"/>
  <c r="P18" i="2"/>
  <c r="P19" i="2"/>
  <c r="F11" i="2"/>
  <c r="F13" i="2"/>
  <c r="F14" i="2"/>
  <c r="F15" i="2"/>
  <c r="F18" i="2"/>
  <c r="F19" i="2"/>
  <c r="F12" i="2"/>
  <c r="E20" i="2"/>
  <c r="H11" i="30"/>
  <c r="H12" i="30"/>
  <c r="H16" i="30"/>
  <c r="H17" i="30"/>
  <c r="H15" i="30"/>
  <c r="H14" i="30"/>
  <c r="H23" i="30"/>
  <c r="H25" i="30"/>
  <c r="H18" i="30"/>
  <c r="H21" i="30"/>
  <c r="H19" i="30"/>
  <c r="H33" i="30"/>
  <c r="H44" i="30"/>
  <c r="H35" i="30"/>
  <c r="H13" i="30"/>
  <c r="F11" i="30"/>
  <c r="F12" i="30"/>
  <c r="F16" i="30"/>
  <c r="F17" i="30"/>
  <c r="F15" i="30"/>
  <c r="F14" i="30"/>
  <c r="F23" i="30"/>
  <c r="F25" i="30"/>
  <c r="F18" i="30"/>
  <c r="F21" i="30"/>
  <c r="F19" i="30"/>
  <c r="F33" i="30"/>
  <c r="F35" i="30"/>
  <c r="F13" i="30"/>
  <c r="AA33" i="30"/>
  <c r="A33" i="30" s="1"/>
  <c r="J33" i="30"/>
  <c r="AA21" i="30"/>
  <c r="A21" i="30" s="1"/>
  <c r="J21" i="30"/>
  <c r="AA17" i="30"/>
  <c r="A17" i="30" s="1"/>
  <c r="J17" i="30"/>
  <c r="AA13" i="30"/>
  <c r="A13" i="30" s="1"/>
  <c r="J13" i="30"/>
  <c r="AA15" i="30"/>
  <c r="A15" i="30" s="1"/>
  <c r="J15" i="30"/>
  <c r="AA14" i="30"/>
  <c r="A14" i="30" s="1"/>
  <c r="J14" i="30"/>
  <c r="W46" i="30"/>
  <c r="I46" i="30"/>
  <c r="G46" i="30"/>
  <c r="E46" i="30"/>
  <c r="AA35" i="30"/>
  <c r="A35" i="30" s="1"/>
  <c r="J35" i="30"/>
  <c r="AA44" i="30"/>
  <c r="A44" i="30" s="1"/>
  <c r="J44" i="30"/>
  <c r="AA19" i="30"/>
  <c r="A19" i="30" s="1"/>
  <c r="J19" i="30"/>
  <c r="AA25" i="30"/>
  <c r="A25" i="30" s="1"/>
  <c r="J25" i="30"/>
  <c r="AA23" i="30"/>
  <c r="A23" i="30" s="1"/>
  <c r="J23" i="30"/>
  <c r="AA18" i="30"/>
  <c r="A18" i="30" s="1"/>
  <c r="J18" i="30"/>
  <c r="AA16" i="30"/>
  <c r="A16" i="30" s="1"/>
  <c r="J16" i="30"/>
  <c r="AA12" i="30"/>
  <c r="A12" i="30" s="1"/>
  <c r="J12" i="30"/>
  <c r="AA11" i="30"/>
  <c r="A11" i="30" s="1"/>
  <c r="J11" i="30"/>
  <c r="G2" i="30"/>
  <c r="O47" i="30" s="1"/>
  <c r="G2" i="7"/>
  <c r="H11" i="7"/>
  <c r="N14" i="2"/>
  <c r="N15" i="2"/>
  <c r="N18" i="2"/>
  <c r="N19" i="2"/>
  <c r="A25" i="29"/>
  <c r="U13" i="29"/>
  <c r="A13" i="29" s="1"/>
  <c r="U14" i="29"/>
  <c r="A14" i="29" s="1"/>
  <c r="U11" i="29"/>
  <c r="A11" i="29" s="1"/>
  <c r="U17" i="29"/>
  <c r="A17" i="29" s="1"/>
  <c r="G2" i="25"/>
  <c r="G2" i="9"/>
  <c r="O40" i="26"/>
  <c r="O27" i="26"/>
  <c r="O21" i="26"/>
  <c r="O33" i="26"/>
  <c r="O28" i="26"/>
  <c r="O17" i="26"/>
  <c r="O14" i="26"/>
  <c r="O15" i="26"/>
  <c r="O18" i="26"/>
  <c r="O13" i="26"/>
  <c r="O12" i="26"/>
  <c r="O16" i="27"/>
  <c r="O13" i="27"/>
  <c r="O11" i="27"/>
  <c r="O15" i="27"/>
  <c r="O14" i="27"/>
  <c r="O18" i="27"/>
  <c r="O19" i="27"/>
  <c r="O20" i="27"/>
  <c r="O21" i="27"/>
  <c r="O17" i="27"/>
  <c r="O22" i="27"/>
  <c r="O23" i="27"/>
  <c r="O12" i="27"/>
  <c r="G2" i="29"/>
  <c r="G3" i="28"/>
  <c r="V18" i="28" s="1"/>
  <c r="G3" i="24"/>
  <c r="G3" i="13"/>
  <c r="G3" i="26"/>
  <c r="G3" i="27"/>
  <c r="U46" i="24"/>
  <c r="A46" i="24" s="1"/>
  <c r="G2" i="28"/>
  <c r="G2" i="24"/>
  <c r="G2" i="13"/>
  <c r="G2" i="26"/>
  <c r="G2" i="27"/>
  <c r="H20" i="29"/>
  <c r="F42" i="29"/>
  <c r="F20" i="29"/>
  <c r="Q53" i="29"/>
  <c r="K53" i="29"/>
  <c r="I53" i="29"/>
  <c r="G53" i="29"/>
  <c r="A16" i="29"/>
  <c r="J20" i="29"/>
  <c r="A46" i="29"/>
  <c r="A37" i="29"/>
  <c r="J42" i="29"/>
  <c r="U26" i="29"/>
  <c r="A26" i="29" s="1"/>
  <c r="J40" i="29"/>
  <c r="U15" i="29"/>
  <c r="A15" i="29" s="1"/>
  <c r="J23" i="29"/>
  <c r="U21" i="29"/>
  <c r="A21" i="29" s="1"/>
  <c r="U18" i="29"/>
  <c r="A18" i="29" s="1"/>
  <c r="U23" i="29"/>
  <c r="A23" i="29" s="1"/>
  <c r="U19" i="29"/>
  <c r="A19" i="29" s="1"/>
  <c r="H12" i="28"/>
  <c r="M31" i="28"/>
  <c r="Q31" i="28"/>
  <c r="K31" i="28"/>
  <c r="I31" i="28"/>
  <c r="G31" i="28"/>
  <c r="E31" i="28"/>
  <c r="U27" i="28"/>
  <c r="A27" i="28" s="1"/>
  <c r="U26" i="28"/>
  <c r="A26" i="28" s="1"/>
  <c r="U22" i="28"/>
  <c r="A22" i="28" s="1"/>
  <c r="U15" i="28"/>
  <c r="A15" i="28" s="1"/>
  <c r="U20" i="28"/>
  <c r="A20" i="28" s="1"/>
  <c r="U11" i="28"/>
  <c r="A11" i="28" s="1"/>
  <c r="J12" i="28"/>
  <c r="F12" i="28"/>
  <c r="U12" i="28"/>
  <c r="A12" i="28" s="1"/>
  <c r="U24" i="28"/>
  <c r="A24" i="28" s="1"/>
  <c r="U17" i="28"/>
  <c r="A17" i="28" s="1"/>
  <c r="U29" i="28"/>
  <c r="A29" i="28" s="1"/>
  <c r="U21" i="28"/>
  <c r="A21" i="28" s="1"/>
  <c r="U19" i="28"/>
  <c r="A19" i="28" s="1"/>
  <c r="U13" i="28"/>
  <c r="A13" i="28" s="1"/>
  <c r="U14" i="28"/>
  <c r="A14" i="28" s="1"/>
  <c r="U16" i="28"/>
  <c r="A16" i="28" s="1"/>
  <c r="K24" i="27"/>
  <c r="K25" i="27" s="1"/>
  <c r="I24" i="27"/>
  <c r="G24" i="27"/>
  <c r="G25" i="27" s="1"/>
  <c r="E24" i="27"/>
  <c r="E25" i="27" s="1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4" i="27"/>
  <c r="A14" i="27" s="1"/>
  <c r="F14" i="27"/>
  <c r="N15" i="27"/>
  <c r="A15" i="27" s="1"/>
  <c r="F15" i="27"/>
  <c r="N11" i="27"/>
  <c r="A11" i="27" s="1"/>
  <c r="F11" i="27"/>
  <c r="N13" i="27"/>
  <c r="A13" i="27" s="1"/>
  <c r="N16" i="27"/>
  <c r="A16" i="27" s="1"/>
  <c r="F16" i="27"/>
  <c r="N12" i="27"/>
  <c r="A12" i="27" s="1"/>
  <c r="K41" i="26"/>
  <c r="I41" i="26"/>
  <c r="G41" i="26"/>
  <c r="E41" i="26"/>
  <c r="N40" i="26"/>
  <c r="A40" i="26" s="1"/>
  <c r="N27" i="26"/>
  <c r="A27" i="26" s="1"/>
  <c r="N21" i="26"/>
  <c r="A21" i="26" s="1"/>
  <c r="N33" i="26"/>
  <c r="A33" i="26" s="1"/>
  <c r="N28" i="26"/>
  <c r="A28" i="26" s="1"/>
  <c r="N17" i="26"/>
  <c r="A17" i="26" s="1"/>
  <c r="N14" i="26"/>
  <c r="A14" i="26" s="1"/>
  <c r="N15" i="26"/>
  <c r="A15" i="26" s="1"/>
  <c r="N18" i="26"/>
  <c r="A18" i="26" s="1"/>
  <c r="M18" i="26"/>
  <c r="N13" i="26"/>
  <c r="A13" i="26" s="1"/>
  <c r="N11" i="26"/>
  <c r="A11" i="26" s="1"/>
  <c r="N12" i="26"/>
  <c r="A12" i="26" s="1"/>
  <c r="F12" i="26"/>
  <c r="U29" i="24"/>
  <c r="A29" i="24" s="1"/>
  <c r="U50" i="24"/>
  <c r="A50" i="24" s="1"/>
  <c r="U66" i="24"/>
  <c r="A66" i="24" s="1"/>
  <c r="U13" i="24"/>
  <c r="A13" i="24" s="1"/>
  <c r="U39" i="24"/>
  <c r="A39" i="24" s="1"/>
  <c r="U44" i="24"/>
  <c r="A44" i="24" s="1"/>
  <c r="U47" i="24"/>
  <c r="A47" i="24" s="1"/>
  <c r="H12" i="24"/>
  <c r="G68" i="24"/>
  <c r="U30" i="24"/>
  <c r="A30" i="24" s="1"/>
  <c r="U48" i="24"/>
  <c r="A48" i="24" s="1"/>
  <c r="U58" i="24"/>
  <c r="A58" i="24" s="1"/>
  <c r="U12" i="24"/>
  <c r="A12" i="24" s="1"/>
  <c r="U18" i="24"/>
  <c r="A18" i="24" s="1"/>
  <c r="U19" i="24"/>
  <c r="A19" i="24" s="1"/>
  <c r="U33" i="24"/>
  <c r="A33" i="24" s="1"/>
  <c r="U34" i="24"/>
  <c r="A34" i="24" s="1"/>
  <c r="U28" i="24"/>
  <c r="A28" i="24" s="1"/>
  <c r="U25" i="24"/>
  <c r="A25" i="24" s="1"/>
  <c r="I68" i="24"/>
  <c r="L12" i="24"/>
  <c r="F12" i="24"/>
  <c r="J15" i="13"/>
  <c r="H17" i="13"/>
  <c r="H18" i="13"/>
  <c r="H19" i="13"/>
  <c r="H21" i="13"/>
  <c r="H20" i="13"/>
  <c r="I25" i="13"/>
  <c r="G25" i="13"/>
  <c r="U30" i="25"/>
  <c r="A30" i="25" s="1"/>
  <c r="I30" i="25"/>
  <c r="U27" i="25"/>
  <c r="A27" i="25" s="1"/>
  <c r="I27" i="25"/>
  <c r="U25" i="25"/>
  <c r="A25" i="25" s="1"/>
  <c r="I25" i="25"/>
  <c r="U34" i="25"/>
  <c r="A34" i="25" s="1"/>
  <c r="I34" i="25"/>
  <c r="U37" i="25"/>
  <c r="A37" i="25" s="1"/>
  <c r="I37" i="25"/>
  <c r="U40" i="25"/>
  <c r="A40" i="25" s="1"/>
  <c r="I40" i="25"/>
  <c r="I16" i="25"/>
  <c r="I15" i="25"/>
  <c r="I24" i="25"/>
  <c r="I12" i="25"/>
  <c r="I20" i="25"/>
  <c r="I14" i="25"/>
  <c r="I17" i="25"/>
  <c r="I45" i="25"/>
  <c r="I18" i="25"/>
  <c r="I36" i="25"/>
  <c r="I13" i="25"/>
  <c r="I32" i="25"/>
  <c r="I22" i="25"/>
  <c r="I23" i="25"/>
  <c r="I31" i="25"/>
  <c r="I28" i="25"/>
  <c r="I29" i="25"/>
  <c r="I21" i="25"/>
  <c r="I19" i="25"/>
  <c r="I26" i="25"/>
  <c r="I33" i="25"/>
  <c r="I54" i="25"/>
  <c r="G15" i="25"/>
  <c r="R55" i="25"/>
  <c r="N55" i="25"/>
  <c r="L55" i="25"/>
  <c r="J55" i="25"/>
  <c r="H55" i="25"/>
  <c r="F55" i="25"/>
  <c r="U54" i="25"/>
  <c r="A54" i="25" s="1"/>
  <c r="U33" i="25"/>
  <c r="A33" i="25" s="1"/>
  <c r="U26" i="25"/>
  <c r="A26" i="25" s="1"/>
  <c r="U19" i="25"/>
  <c r="A19" i="25" s="1"/>
  <c r="U21" i="25"/>
  <c r="A21" i="25" s="1"/>
  <c r="U29" i="25"/>
  <c r="A29" i="25" s="1"/>
  <c r="U28" i="25"/>
  <c r="A28" i="25" s="1"/>
  <c r="U31" i="25"/>
  <c r="A31" i="25" s="1"/>
  <c r="U23" i="25"/>
  <c r="A23" i="25" s="1"/>
  <c r="U22" i="25"/>
  <c r="A22" i="25" s="1"/>
  <c r="U32" i="25"/>
  <c r="A32" i="25" s="1"/>
  <c r="U13" i="25"/>
  <c r="A13" i="25" s="1"/>
  <c r="U36" i="25"/>
  <c r="A36" i="25" s="1"/>
  <c r="U18" i="25"/>
  <c r="A18" i="25" s="1"/>
  <c r="U45" i="25"/>
  <c r="A45" i="25" s="1"/>
  <c r="U17" i="25"/>
  <c r="A17" i="25" s="1"/>
  <c r="U14" i="25"/>
  <c r="A14" i="25" s="1"/>
  <c r="U20" i="25"/>
  <c r="A20" i="25" s="1"/>
  <c r="U12" i="25"/>
  <c r="A12" i="25" s="1"/>
  <c r="U24" i="25"/>
  <c r="A24" i="25" s="1"/>
  <c r="U15" i="25"/>
  <c r="A15" i="25" s="1"/>
  <c r="K15" i="25"/>
  <c r="U16" i="25"/>
  <c r="A16" i="25" s="1"/>
  <c r="U11" i="25"/>
  <c r="A11" i="25" s="1"/>
  <c r="I11" i="25"/>
  <c r="H44" i="9"/>
  <c r="I21" i="9"/>
  <c r="I12" i="9"/>
  <c r="I14" i="9"/>
  <c r="I15" i="9"/>
  <c r="I17" i="9"/>
  <c r="I22" i="9"/>
  <c r="I18" i="9"/>
  <c r="I23" i="9"/>
  <c r="I20" i="9"/>
  <c r="I25" i="9"/>
  <c r="I16" i="9"/>
  <c r="I31" i="9"/>
  <c r="I26" i="9"/>
  <c r="I34" i="9"/>
  <c r="I29" i="9"/>
  <c r="I40" i="9"/>
  <c r="I28" i="9"/>
  <c r="I42" i="9"/>
  <c r="I24" i="9"/>
  <c r="I13" i="9"/>
  <c r="I32" i="9"/>
  <c r="I43" i="9"/>
  <c r="I11" i="9"/>
  <c r="G15" i="9"/>
  <c r="Q68" i="24"/>
  <c r="O68" i="24"/>
  <c r="K68" i="24"/>
  <c r="E68" i="24"/>
  <c r="U20" i="24"/>
  <c r="A20" i="24" s="1"/>
  <c r="U36" i="24"/>
  <c r="A36" i="24" s="1"/>
  <c r="U35" i="24"/>
  <c r="A35" i="24" s="1"/>
  <c r="U56" i="24"/>
  <c r="A56" i="24" s="1"/>
  <c r="U27" i="24"/>
  <c r="A27" i="24" s="1"/>
  <c r="U31" i="24"/>
  <c r="A31" i="24" s="1"/>
  <c r="U37" i="24"/>
  <c r="A37" i="24" s="1"/>
  <c r="U40" i="24"/>
  <c r="A40" i="24" s="1"/>
  <c r="U24" i="24"/>
  <c r="U59" i="24"/>
  <c r="U32" i="24"/>
  <c r="A32" i="24" s="1"/>
  <c r="U55" i="24"/>
  <c r="A55" i="24" s="1"/>
  <c r="Q25" i="13"/>
  <c r="U18" i="13"/>
  <c r="A18" i="13" s="1"/>
  <c r="U17" i="13"/>
  <c r="A17" i="13" s="1"/>
  <c r="O25" i="13"/>
  <c r="R44" i="9"/>
  <c r="U24" i="13"/>
  <c r="A24" i="13" s="1"/>
  <c r="U21" i="13"/>
  <c r="A21" i="13" s="1"/>
  <c r="U19" i="13"/>
  <c r="A19" i="13" s="1"/>
  <c r="M25" i="13"/>
  <c r="U23" i="13"/>
  <c r="A23" i="13" s="1"/>
  <c r="L11" i="7"/>
  <c r="K30" i="7"/>
  <c r="K25" i="13"/>
  <c r="E25" i="13"/>
  <c r="N44" i="9"/>
  <c r="L44" i="9"/>
  <c r="J44" i="9"/>
  <c r="F44" i="9"/>
  <c r="G30" i="7"/>
  <c r="E30" i="7"/>
  <c r="M20" i="2"/>
  <c r="E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16" i="19"/>
  <c r="F20" i="19"/>
  <c r="F19" i="19"/>
  <c r="F17" i="19"/>
  <c r="P13" i="19"/>
  <c r="A13" i="19" s="1"/>
  <c r="P15" i="19"/>
  <c r="A15" i="19" s="1"/>
  <c r="F15" i="19"/>
  <c r="P14" i="19"/>
  <c r="A14" i="19" s="1"/>
  <c r="F14" i="19"/>
  <c r="P12" i="19"/>
  <c r="A12" i="19" s="1"/>
  <c r="F12" i="19"/>
  <c r="P11" i="19"/>
  <c r="A11" i="19" s="1"/>
  <c r="F11" i="19"/>
  <c r="P18" i="19"/>
  <c r="A18" i="19" s="1"/>
  <c r="F18" i="19"/>
  <c r="AA14" i="7"/>
  <c r="A14" i="7" s="1"/>
  <c r="AA19" i="7"/>
  <c r="A19" i="7" s="1"/>
  <c r="P12" i="2"/>
  <c r="U12" i="9"/>
  <c r="A12" i="9" s="1"/>
  <c r="U21" i="9"/>
  <c r="A21" i="9" s="1"/>
  <c r="U14" i="9"/>
  <c r="A14" i="9" s="1"/>
  <c r="U15" i="9"/>
  <c r="A15" i="9" s="1"/>
  <c r="U17" i="9"/>
  <c r="A17" i="9" s="1"/>
  <c r="U22" i="9"/>
  <c r="A22" i="9" s="1"/>
  <c r="U18" i="9"/>
  <c r="A18" i="9" s="1"/>
  <c r="U25" i="9"/>
  <c r="A25" i="9" s="1"/>
  <c r="U23" i="9"/>
  <c r="A23" i="9" s="1"/>
  <c r="U16" i="9"/>
  <c r="A16" i="9" s="1"/>
  <c r="U31" i="9"/>
  <c r="A31" i="9" s="1"/>
  <c r="U20" i="9"/>
  <c r="A20" i="9" s="1"/>
  <c r="U26" i="9"/>
  <c r="A26" i="9" s="1"/>
  <c r="U34" i="9"/>
  <c r="A34" i="9" s="1"/>
  <c r="U29" i="9"/>
  <c r="A29" i="9" s="1"/>
  <c r="U40" i="9"/>
  <c r="A40" i="9" s="1"/>
  <c r="U28" i="9"/>
  <c r="A28" i="9" s="1"/>
  <c r="U42" i="9"/>
  <c r="A42" i="9" s="1"/>
  <c r="U24" i="9"/>
  <c r="A24" i="9" s="1"/>
  <c r="U13" i="9"/>
  <c r="A13" i="9" s="1"/>
  <c r="U32" i="9"/>
  <c r="A32" i="9" s="1"/>
  <c r="U43" i="9"/>
  <c r="A43" i="9" s="1"/>
  <c r="O12" i="9"/>
  <c r="O17" i="9"/>
  <c r="T17" i="9" s="1"/>
  <c r="O14" i="9"/>
  <c r="T14" i="9" s="1"/>
  <c r="O21" i="9"/>
  <c r="O15" i="9"/>
  <c r="O23" i="9"/>
  <c r="O16" i="9"/>
  <c r="U16" i="13"/>
  <c r="A16" i="13" s="1"/>
  <c r="U15" i="13"/>
  <c r="A15" i="13" s="1"/>
  <c r="U12" i="13"/>
  <c r="A12" i="13" s="1"/>
  <c r="U20" i="13"/>
  <c r="A20" i="13" s="1"/>
  <c r="F11" i="7"/>
  <c r="Y11" i="7" s="1"/>
  <c r="U13" i="13"/>
  <c r="A13" i="13" s="1"/>
  <c r="U11" i="13"/>
  <c r="A11" i="13" s="1"/>
  <c r="U14" i="13"/>
  <c r="A14" i="13" s="1"/>
  <c r="U11" i="9"/>
  <c r="A11" i="9" s="1"/>
  <c r="AA15" i="7"/>
  <c r="A15" i="7" s="1"/>
  <c r="AA13" i="7"/>
  <c r="A13" i="7" s="1"/>
  <c r="AA12" i="7"/>
  <c r="AA24" i="7"/>
  <c r="A24" i="7" s="1"/>
  <c r="AA22" i="7"/>
  <c r="A22" i="7" s="1"/>
  <c r="AA11" i="7"/>
  <c r="P11" i="2"/>
  <c r="A11" i="2" s="1"/>
  <c r="P14" i="2"/>
  <c r="A14" i="2" s="1"/>
  <c r="P13" i="2"/>
  <c r="M25" i="34" l="1"/>
  <c r="Y45" i="30"/>
  <c r="Y44" i="30"/>
  <c r="S24" i="24"/>
  <c r="A12" i="2"/>
  <c r="S13" i="29"/>
  <c r="Y15" i="7"/>
  <c r="Q25" i="31"/>
  <c r="Y43" i="30"/>
  <c r="Q12" i="31"/>
  <c r="S35" i="24"/>
  <c r="S17" i="24"/>
  <c r="S11" i="24"/>
  <c r="S18" i="28"/>
  <c r="S21" i="28"/>
  <c r="M23" i="36"/>
  <c r="S14" i="28"/>
  <c r="Y42" i="30"/>
  <c r="Y16" i="30"/>
  <c r="M33" i="36"/>
  <c r="M11" i="27"/>
  <c r="Q23" i="31"/>
  <c r="O11" i="2"/>
  <c r="Y41" i="30"/>
  <c r="Q19" i="31"/>
  <c r="M33" i="34"/>
  <c r="T21" i="9"/>
  <c r="Y40" i="30"/>
  <c r="S28" i="24"/>
  <c r="S16" i="28"/>
  <c r="S11" i="28"/>
  <c r="S15" i="28"/>
  <c r="S12" i="28"/>
  <c r="S19" i="28"/>
  <c r="S13" i="28"/>
  <c r="S11" i="29"/>
  <c r="S17" i="29"/>
  <c r="S16" i="29"/>
  <c r="S25" i="29"/>
  <c r="S14" i="29"/>
  <c r="S22" i="29"/>
  <c r="S18" i="29"/>
  <c r="S19" i="29"/>
  <c r="S12" i="29"/>
  <c r="T15" i="25"/>
  <c r="T13" i="25"/>
  <c r="T11" i="25"/>
  <c r="T19" i="25"/>
  <c r="T12" i="25"/>
  <c r="T17" i="25"/>
  <c r="T13" i="9"/>
  <c r="T22" i="9"/>
  <c r="T18" i="9"/>
  <c r="T12" i="9"/>
  <c r="T24" i="9"/>
  <c r="T23" i="9"/>
  <c r="A13" i="2"/>
  <c r="S34" i="29"/>
  <c r="S26" i="29"/>
  <c r="S23" i="29"/>
  <c r="S21" i="29"/>
  <c r="S26" i="28"/>
  <c r="Y13" i="7"/>
  <c r="Y14" i="7"/>
  <c r="Q15" i="31"/>
  <c r="Q21" i="31"/>
  <c r="Q20" i="31"/>
  <c r="Q22" i="31"/>
  <c r="M14" i="36"/>
  <c r="M12" i="36"/>
  <c r="Y23" i="30"/>
  <c r="Y34" i="30"/>
  <c r="S20" i="28"/>
  <c r="S12" i="24"/>
  <c r="S18" i="24"/>
  <c r="S25" i="24"/>
  <c r="S21" i="24"/>
  <c r="S11" i="13"/>
  <c r="V60" i="24"/>
  <c r="V64" i="24"/>
  <c r="V67" i="24"/>
  <c r="V65" i="24"/>
  <c r="V54" i="24"/>
  <c r="V63" i="24"/>
  <c r="S16" i="24"/>
  <c r="S29" i="28"/>
  <c r="S28" i="28"/>
  <c r="S37" i="29"/>
  <c r="AB23" i="7"/>
  <c r="AB26" i="7"/>
  <c r="AB21" i="7"/>
  <c r="AB25" i="7"/>
  <c r="AB20" i="7"/>
  <c r="AB18" i="7"/>
  <c r="AB28" i="7"/>
  <c r="AB16" i="7"/>
  <c r="AB27" i="7"/>
  <c r="AB17" i="7"/>
  <c r="AB36" i="30"/>
  <c r="AB26" i="30"/>
  <c r="AB37" i="30"/>
  <c r="AB31" i="30"/>
  <c r="AB28" i="30"/>
  <c r="AB39" i="30"/>
  <c r="AB24" i="30"/>
  <c r="AB30" i="30"/>
  <c r="AB22" i="30"/>
  <c r="AB38" i="30"/>
  <c r="W41" i="25"/>
  <c r="W48" i="25"/>
  <c r="W52" i="25"/>
  <c r="S27" i="28"/>
  <c r="O20" i="35"/>
  <c r="O28" i="35"/>
  <c r="O33" i="35"/>
  <c r="Y33" i="30"/>
  <c r="S47" i="29"/>
  <c r="Y19" i="30"/>
  <c r="S24" i="28"/>
  <c r="S38" i="29"/>
  <c r="W28" i="9"/>
  <c r="S14" i="24"/>
  <c r="S44" i="29"/>
  <c r="O24" i="35"/>
  <c r="T16" i="31"/>
  <c r="T18" i="31"/>
  <c r="T17" i="31"/>
  <c r="Y27" i="30"/>
  <c r="S30" i="28"/>
  <c r="S49" i="29"/>
  <c r="M12" i="26"/>
  <c r="P20" i="27"/>
  <c r="W54" i="25"/>
  <c r="W42" i="9"/>
  <c r="W35" i="9"/>
  <c r="W38" i="9"/>
  <c r="W39" i="9"/>
  <c r="W41" i="9"/>
  <c r="W33" i="9"/>
  <c r="W36" i="9"/>
  <c r="W37" i="9"/>
  <c r="T29" i="9"/>
  <c r="S22" i="28"/>
  <c r="S51" i="29"/>
  <c r="T30" i="25"/>
  <c r="T25" i="9"/>
  <c r="T16" i="9"/>
  <c r="T15" i="9"/>
  <c r="T26" i="9"/>
  <c r="Y25" i="30"/>
  <c r="Y29" i="30"/>
  <c r="Y35" i="30"/>
  <c r="Y20" i="30"/>
  <c r="Y32" i="30"/>
  <c r="O11" i="35"/>
  <c r="T38" i="25"/>
  <c r="T53" i="25"/>
  <c r="T54" i="25"/>
  <c r="T33" i="25"/>
  <c r="T35" i="25"/>
  <c r="Y24" i="7"/>
  <c r="Y29" i="7"/>
  <c r="M28" i="26"/>
  <c r="M14" i="26"/>
  <c r="S46" i="29"/>
  <c r="S27" i="29"/>
  <c r="S52" i="29"/>
  <c r="S24" i="29"/>
  <c r="S31" i="29"/>
  <c r="S29" i="29"/>
  <c r="S33" i="29"/>
  <c r="S32" i="29"/>
  <c r="S23" i="28"/>
  <c r="S25" i="28"/>
  <c r="S22" i="24"/>
  <c r="V51" i="24"/>
  <c r="V49" i="24"/>
  <c r="V53" i="24"/>
  <c r="V42" i="24"/>
  <c r="S47" i="24"/>
  <c r="S50" i="24"/>
  <c r="S36" i="24"/>
  <c r="V16" i="24"/>
  <c r="V23" i="24"/>
  <c r="S18" i="13"/>
  <c r="S24" i="13"/>
  <c r="S20" i="13"/>
  <c r="S15" i="13"/>
  <c r="S21" i="13"/>
  <c r="S17" i="13"/>
  <c r="S22" i="13"/>
  <c r="S19" i="13"/>
  <c r="S16" i="13"/>
  <c r="S23" i="13"/>
  <c r="M21" i="26"/>
  <c r="A11" i="7"/>
  <c r="A12" i="7"/>
  <c r="M31" i="7"/>
  <c r="O31" i="7"/>
  <c r="T44" i="25"/>
  <c r="T43" i="25"/>
  <c r="T46" i="25"/>
  <c r="T39" i="25"/>
  <c r="T47" i="25"/>
  <c r="T40" i="25"/>
  <c r="T49" i="25"/>
  <c r="T42" i="25"/>
  <c r="T32" i="9"/>
  <c r="T43" i="9"/>
  <c r="S34" i="24"/>
  <c r="S40" i="24"/>
  <c r="S52" i="24"/>
  <c r="S45" i="24"/>
  <c r="S38" i="24"/>
  <c r="S58" i="24"/>
  <c r="M69" i="24"/>
  <c r="S62" i="24"/>
  <c r="M13" i="26"/>
  <c r="I42" i="26"/>
  <c r="M17" i="26"/>
  <c r="M15" i="26"/>
  <c r="M25" i="26"/>
  <c r="M27" i="26"/>
  <c r="S30" i="24"/>
  <c r="S56" i="24"/>
  <c r="S59" i="24"/>
  <c r="S51" i="24"/>
  <c r="S33" i="24"/>
  <c r="S19" i="24"/>
  <c r="S29" i="24"/>
  <c r="S31" i="24"/>
  <c r="S42" i="24"/>
  <c r="S57" i="24"/>
  <c r="S44" i="24"/>
  <c r="S20" i="24"/>
  <c r="S41" i="24"/>
  <c r="S43" i="24"/>
  <c r="S26" i="24"/>
  <c r="S27" i="24"/>
  <c r="S32" i="24"/>
  <c r="S23" i="24"/>
  <c r="S15" i="24"/>
  <c r="S55" i="24"/>
  <c r="S48" i="24"/>
  <c r="S46" i="24"/>
  <c r="T31" i="9"/>
  <c r="T40" i="9"/>
  <c r="T34" i="9"/>
  <c r="T28" i="9"/>
  <c r="T20" i="9"/>
  <c r="T42" i="9"/>
  <c r="F45" i="9"/>
  <c r="T45" i="25"/>
  <c r="T36" i="25"/>
  <c r="T34" i="25"/>
  <c r="T51" i="25"/>
  <c r="T50" i="25"/>
  <c r="T37" i="25"/>
  <c r="T32" i="25"/>
  <c r="S20" i="29"/>
  <c r="S43" i="29"/>
  <c r="S50" i="29"/>
  <c r="S39" i="29"/>
  <c r="S45" i="29"/>
  <c r="S41" i="29"/>
  <c r="S35" i="29"/>
  <c r="S48" i="29"/>
  <c r="S28" i="29"/>
  <c r="S36" i="29"/>
  <c r="S30" i="29"/>
  <c r="S40" i="29"/>
  <c r="S42" i="29"/>
  <c r="S17" i="28"/>
  <c r="Y19" i="7"/>
  <c r="Y22" i="7"/>
  <c r="R12" i="2"/>
  <c r="O14" i="35"/>
  <c r="V11" i="13"/>
  <c r="O13" i="2"/>
  <c r="O13" i="35"/>
  <c r="V56" i="24"/>
  <c r="O18" i="2"/>
  <c r="O16" i="2"/>
  <c r="O12" i="35"/>
  <c r="O15" i="35"/>
  <c r="O17" i="35"/>
  <c r="O19" i="35"/>
  <c r="O23" i="35"/>
  <c r="O27" i="35"/>
  <c r="O31" i="35"/>
  <c r="O32" i="35"/>
  <c r="O16" i="35"/>
  <c r="O18" i="35"/>
  <c r="O22" i="35"/>
  <c r="O26" i="35"/>
  <c r="O30" i="35"/>
  <c r="O21" i="35"/>
  <c r="O25" i="35"/>
  <c r="O29" i="35"/>
  <c r="O15" i="2"/>
  <c r="O19" i="2"/>
  <c r="O17" i="2"/>
  <c r="O12" i="2"/>
  <c r="O14" i="2"/>
  <c r="Q69" i="24"/>
  <c r="I69" i="24"/>
  <c r="M16" i="27"/>
  <c r="M14" i="27"/>
  <c r="M18" i="27"/>
  <c r="M22" i="27"/>
  <c r="M23" i="27"/>
  <c r="M20" i="27"/>
  <c r="M15" i="27"/>
  <c r="M21" i="27"/>
  <c r="M17" i="27"/>
  <c r="M13" i="27"/>
  <c r="M19" i="27"/>
  <c r="E69" i="24"/>
  <c r="G69" i="24"/>
  <c r="J45" i="9"/>
  <c r="W51" i="25"/>
  <c r="M27" i="34"/>
  <c r="M23" i="34"/>
  <c r="M26" i="34"/>
  <c r="M32" i="34"/>
  <c r="M28" i="34"/>
  <c r="M31" i="34"/>
  <c r="M24" i="34"/>
  <c r="O33" i="19"/>
  <c r="O29" i="19"/>
  <c r="O25" i="19"/>
  <c r="O16" i="19"/>
  <c r="O13" i="19"/>
  <c r="O11" i="19"/>
  <c r="O30" i="19"/>
  <c r="O26" i="19"/>
  <c r="O22" i="19"/>
  <c r="O17" i="19"/>
  <c r="O12" i="19"/>
  <c r="O21" i="19"/>
  <c r="O31" i="19"/>
  <c r="O27" i="19"/>
  <c r="O23" i="19"/>
  <c r="O19" i="19"/>
  <c r="O14" i="19"/>
  <c r="O32" i="19"/>
  <c r="O28" i="19"/>
  <c r="O24" i="19"/>
  <c r="O20" i="19"/>
  <c r="O15" i="19"/>
  <c r="O18" i="19"/>
  <c r="T24" i="31"/>
  <c r="T22" i="31"/>
  <c r="T20" i="31"/>
  <c r="X12" i="30"/>
  <c r="Y12" i="30" s="1"/>
  <c r="X21" i="30"/>
  <c r="Y21" i="30" s="1"/>
  <c r="X17" i="30"/>
  <c r="Y17" i="30" s="1"/>
  <c r="X18" i="30"/>
  <c r="Y18" i="30" s="1"/>
  <c r="X15" i="30"/>
  <c r="Y15" i="30" s="1"/>
  <c r="X11" i="30"/>
  <c r="Y11" i="30" s="1"/>
  <c r="X14" i="30"/>
  <c r="W47" i="25"/>
  <c r="W50" i="25"/>
  <c r="W39" i="25"/>
  <c r="W53" i="25"/>
  <c r="W49" i="25"/>
  <c r="W35" i="25"/>
  <c r="W11" i="25"/>
  <c r="W44" i="25"/>
  <c r="W42" i="25"/>
  <c r="W38" i="25"/>
  <c r="W43" i="25"/>
  <c r="V25" i="28"/>
  <c r="V30" i="28"/>
  <c r="V28" i="28"/>
  <c r="V23" i="28"/>
  <c r="V35" i="24"/>
  <c r="V32" i="24"/>
  <c r="V48" i="24"/>
  <c r="V20" i="24"/>
  <c r="V15" i="24"/>
  <c r="V17" i="24"/>
  <c r="V45" i="24"/>
  <c r="V31" i="24"/>
  <c r="V24" i="24"/>
  <c r="V38" i="24"/>
  <c r="V19" i="24"/>
  <c r="V27" i="24"/>
  <c r="V13" i="24"/>
  <c r="V33" i="24"/>
  <c r="V52" i="24"/>
  <c r="V41" i="24"/>
  <c r="V21" i="24"/>
  <c r="V57" i="24"/>
  <c r="V12" i="24"/>
  <c r="V26" i="24"/>
  <c r="V47" i="24"/>
  <c r="V50" i="24"/>
  <c r="V58" i="24"/>
  <c r="V39" i="24"/>
  <c r="V43" i="24"/>
  <c r="V61" i="24"/>
  <c r="V22" i="24"/>
  <c r="V34" i="24"/>
  <c r="V36" i="24"/>
  <c r="V46" i="24"/>
  <c r="V66" i="24"/>
  <c r="V30" i="24"/>
  <c r="V14" i="24"/>
  <c r="V11" i="24"/>
  <c r="V62" i="24"/>
  <c r="V14" i="13"/>
  <c r="V23" i="13"/>
  <c r="V15" i="13"/>
  <c r="V24" i="13"/>
  <c r="V18" i="13"/>
  <c r="V16" i="13"/>
  <c r="V13" i="13"/>
  <c r="V20" i="13"/>
  <c r="V19" i="13"/>
  <c r="V12" i="13"/>
  <c r="V21" i="13"/>
  <c r="V17" i="13"/>
  <c r="V22" i="13"/>
  <c r="M31" i="26"/>
  <c r="M22" i="26"/>
  <c r="M19" i="26"/>
  <c r="M26" i="26"/>
  <c r="M23" i="26"/>
  <c r="M30" i="26"/>
  <c r="M37" i="26"/>
  <c r="M24" i="26"/>
  <c r="M35" i="26"/>
  <c r="M39" i="26"/>
  <c r="M20" i="26"/>
  <c r="M34" i="26"/>
  <c r="M16" i="26"/>
  <c r="M36" i="26"/>
  <c r="M32" i="26"/>
  <c r="M29" i="26"/>
  <c r="M38" i="26"/>
  <c r="P36" i="26"/>
  <c r="P38" i="26"/>
  <c r="M12" i="27"/>
  <c r="P12" i="27"/>
  <c r="P21" i="27"/>
  <c r="P14" i="27"/>
  <c r="P16" i="27"/>
  <c r="P17" i="27"/>
  <c r="P13" i="27"/>
  <c r="P22" i="27"/>
  <c r="P19" i="27"/>
  <c r="P11" i="27"/>
  <c r="P18" i="27"/>
  <c r="P23" i="27"/>
  <c r="P15" i="27"/>
  <c r="M20" i="34"/>
  <c r="M11" i="34"/>
  <c r="M12" i="34"/>
  <c r="M14" i="34"/>
  <c r="M15" i="34"/>
  <c r="M16" i="34"/>
  <c r="M17" i="34"/>
  <c r="M18" i="34"/>
  <c r="M19" i="34"/>
  <c r="M13" i="34"/>
  <c r="V51" i="29"/>
  <c r="V20" i="29"/>
  <c r="V50" i="29"/>
  <c r="V27" i="29"/>
  <c r="V22" i="29"/>
  <c r="V33" i="29"/>
  <c r="V44" i="29"/>
  <c r="V49" i="29"/>
  <c r="V47" i="29"/>
  <c r="O54" i="29"/>
  <c r="AB12" i="7"/>
  <c r="M21" i="2"/>
  <c r="E21" i="2"/>
  <c r="S47" i="30"/>
  <c r="U31" i="7"/>
  <c r="AB32" i="30"/>
  <c r="AB43" i="30"/>
  <c r="AB45" i="30"/>
  <c r="AB41" i="30"/>
  <c r="AB29" i="30"/>
  <c r="AB20" i="30"/>
  <c r="AB34" i="30"/>
  <c r="AB42" i="30"/>
  <c r="AB11" i="30"/>
  <c r="AB27" i="30"/>
  <c r="AB40" i="30"/>
  <c r="I25" i="27"/>
  <c r="P13" i="26"/>
  <c r="P17" i="26"/>
  <c r="P27" i="26"/>
  <c r="P19" i="26"/>
  <c r="P23" i="26"/>
  <c r="P37" i="26"/>
  <c r="P35" i="26"/>
  <c r="P20" i="26"/>
  <c r="P34" i="26"/>
  <c r="P32" i="26"/>
  <c r="P29" i="26"/>
  <c r="P11" i="26"/>
  <c r="P18" i="26"/>
  <c r="P14" i="26"/>
  <c r="P28" i="26"/>
  <c r="P21" i="26"/>
  <c r="P40" i="26"/>
  <c r="P31" i="26"/>
  <c r="P16" i="26"/>
  <c r="P22" i="26"/>
  <c r="P26" i="26"/>
  <c r="P30" i="26"/>
  <c r="P24" i="26"/>
  <c r="P39" i="26"/>
  <c r="K69" i="24"/>
  <c r="O69" i="24"/>
  <c r="W31" i="7"/>
  <c r="Q31" i="7"/>
  <c r="S31" i="7"/>
  <c r="I31" i="7"/>
  <c r="E42" i="26"/>
  <c r="G42" i="26"/>
  <c r="A24" i="24"/>
  <c r="V44" i="24"/>
  <c r="M32" i="28"/>
  <c r="I32" i="28"/>
  <c r="G32" i="28"/>
  <c r="E32" i="28"/>
  <c r="Q32" i="28"/>
  <c r="O32" i="28"/>
  <c r="K32" i="28"/>
  <c r="M27" i="31"/>
  <c r="I21" i="2"/>
  <c r="G21" i="2"/>
  <c r="K21" i="2"/>
  <c r="K47" i="30"/>
  <c r="U47" i="30"/>
  <c r="Q47" i="30"/>
  <c r="M47" i="30"/>
  <c r="W46" i="25"/>
  <c r="G26" i="13"/>
  <c r="Q26" i="13"/>
  <c r="O26" i="13"/>
  <c r="I26" i="13"/>
  <c r="K26" i="13"/>
  <c r="E26" i="13"/>
  <c r="M26" i="13"/>
  <c r="P12" i="26"/>
  <c r="P15" i="26"/>
  <c r="P33" i="26"/>
  <c r="P25" i="26"/>
  <c r="K42" i="26"/>
  <c r="R45" i="9"/>
  <c r="L45" i="9"/>
  <c r="N45" i="9"/>
  <c r="H45" i="9"/>
  <c r="P45" i="9"/>
  <c r="J56" i="25"/>
  <c r="H56" i="25"/>
  <c r="F56" i="25"/>
  <c r="R56" i="25"/>
  <c r="N56" i="25"/>
  <c r="P56" i="25"/>
  <c r="L56" i="25"/>
  <c r="I27" i="31"/>
  <c r="T14" i="31"/>
  <c r="V22" i="28"/>
  <c r="V11" i="28"/>
  <c r="V16" i="28"/>
  <c r="V26" i="28"/>
  <c r="V15" i="28"/>
  <c r="V19" i="28"/>
  <c r="V17" i="28"/>
  <c r="V27" i="28"/>
  <c r="V21" i="28"/>
  <c r="V20" i="28"/>
  <c r="V12" i="28"/>
  <c r="V14" i="28"/>
  <c r="V24" i="28"/>
  <c r="V29" i="28"/>
  <c r="V13" i="28"/>
  <c r="W11" i="9"/>
  <c r="W12" i="9"/>
  <c r="W24" i="9"/>
  <c r="W25" i="9"/>
  <c r="W43" i="9"/>
  <c r="W40" i="9"/>
  <c r="W17" i="9"/>
  <c r="W16" i="9"/>
  <c r="W13" i="9"/>
  <c r="W34" i="9"/>
  <c r="W23" i="9"/>
  <c r="W26" i="9"/>
  <c r="W14" i="9"/>
  <c r="W21" i="9"/>
  <c r="W30" i="9"/>
  <c r="W19" i="9"/>
  <c r="W27" i="9"/>
  <c r="W15" i="9"/>
  <c r="W20" i="9"/>
  <c r="W18" i="9"/>
  <c r="W32" i="9"/>
  <c r="W31" i="9"/>
  <c r="W13" i="25"/>
  <c r="W32" i="25"/>
  <c r="W45" i="25"/>
  <c r="W18" i="25"/>
  <c r="W36" i="25"/>
  <c r="W28" i="25"/>
  <c r="W19" i="25"/>
  <c r="W40" i="25"/>
  <c r="W30" i="25"/>
  <c r="W20" i="25"/>
  <c r="W37" i="25"/>
  <c r="W33" i="25"/>
  <c r="W24" i="25"/>
  <c r="W23" i="25"/>
  <c r="W15" i="25"/>
  <c r="W21" i="25"/>
  <c r="W25" i="25"/>
  <c r="W31" i="25"/>
  <c r="W27" i="25"/>
  <c r="W29" i="25"/>
  <c r="W26" i="25"/>
  <c r="W12" i="25"/>
  <c r="W34" i="25"/>
  <c r="W22" i="25"/>
  <c r="W16" i="25"/>
  <c r="W14" i="25"/>
  <c r="W17" i="25"/>
  <c r="AB16" i="30"/>
  <c r="AB18" i="30"/>
  <c r="AB23" i="30"/>
  <c r="AB19" i="30"/>
  <c r="AB44" i="30"/>
  <c r="AB35" i="30"/>
  <c r="AB14" i="30"/>
  <c r="AB15" i="30"/>
  <c r="AB13" i="30"/>
  <c r="AB17" i="30"/>
  <c r="AB21" i="30"/>
  <c r="AB33" i="30"/>
  <c r="AB14" i="7"/>
  <c r="G31" i="7"/>
  <c r="V17" i="29"/>
  <c r="V13" i="29"/>
  <c r="V25" i="29"/>
  <c r="V34" i="29"/>
  <c r="V14" i="29"/>
  <c r="V11" i="29"/>
  <c r="G27" i="31"/>
  <c r="R16" i="2"/>
  <c r="R11" i="2"/>
  <c r="R15" i="2"/>
  <c r="R19" i="2"/>
  <c r="R14" i="2"/>
  <c r="R13" i="2"/>
  <c r="R17" i="2"/>
  <c r="R18" i="2"/>
  <c r="T13" i="31"/>
  <c r="T25" i="31"/>
  <c r="T19" i="31"/>
  <c r="T23" i="31"/>
  <c r="E27" i="31"/>
  <c r="A59" i="24"/>
  <c r="V55" i="24"/>
  <c r="V28" i="24"/>
  <c r="V25" i="24"/>
  <c r="V29" i="24"/>
  <c r="V18" i="24"/>
  <c r="V37" i="24"/>
  <c r="V40" i="24"/>
  <c r="V59" i="24"/>
  <c r="T12" i="31"/>
  <c r="O27" i="31"/>
  <c r="T15" i="31"/>
  <c r="T11" i="31"/>
  <c r="T21" i="31"/>
  <c r="AB25" i="30"/>
  <c r="G47" i="30"/>
  <c r="W47" i="30"/>
  <c r="I47" i="30"/>
  <c r="E47" i="30"/>
  <c r="AB12" i="30"/>
  <c r="K31" i="7"/>
  <c r="E31" i="7"/>
  <c r="AB24" i="7"/>
  <c r="AB29" i="7"/>
  <c r="AB22" i="7"/>
  <c r="AB11" i="7"/>
  <c r="AB19" i="7"/>
  <c r="AB15" i="7"/>
  <c r="AB13" i="7"/>
  <c r="V41" i="29"/>
  <c r="V30" i="29"/>
  <c r="V43" i="29"/>
  <c r="V23" i="29"/>
  <c r="V21" i="29"/>
  <c r="V26" i="29"/>
  <c r="V16" i="29"/>
  <c r="V32" i="29"/>
  <c r="V31" i="29"/>
  <c r="V42" i="29"/>
  <c r="V40" i="29"/>
  <c r="V45" i="29"/>
  <c r="V35" i="29"/>
  <c r="V52" i="29"/>
  <c r="V37" i="29"/>
  <c r="Q54" i="29"/>
  <c r="V19" i="29"/>
  <c r="V24" i="29"/>
  <c r="V15" i="29"/>
  <c r="V28" i="29"/>
  <c r="V29" i="29"/>
  <c r="V48" i="29"/>
  <c r="V46" i="29"/>
  <c r="V18" i="29"/>
  <c r="V12" i="29"/>
  <c r="V39" i="29"/>
  <c r="V38" i="29"/>
  <c r="V36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<sst xmlns="http://schemas.openxmlformats.org/spreadsheetml/2006/main" count="2051" uniqueCount="586">
  <si>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</si>
  <si>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</si>
  <si>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</si>
  <si>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</si>
  <si>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</si>
  <si>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</si>
  <si>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</si>
  <si>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</si>
  <si>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</si>
  <si>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</si>
  <si>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</si>
  <si>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</si>
  <si>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</si>
  <si>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</si>
  <si>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</si>
  <si>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Challenge Scaramouche Angers</t>
  </si>
  <si>
    <t>Classement Sabre Dames M11</t>
  </si>
  <si>
    <t>Classement Sabre Dames M9</t>
  </si>
  <si>
    <t>nb tireurs bretons</t>
  </si>
  <si>
    <t>Championnat de Bretagne</t>
  </si>
  <si>
    <t>Classement Sabre Hommes M20</t>
  </si>
  <si>
    <t>Classement Sabre Dames Senior</t>
  </si>
  <si>
    <t xml:space="preserve">  </t>
  </si>
  <si>
    <t>Année</t>
  </si>
  <si>
    <t>compétition prise en compte dans les 4 meilleurs résultats</t>
  </si>
  <si>
    <t>Challenge Finistère</t>
  </si>
  <si>
    <t>Coupe du futur Pontivy</t>
  </si>
  <si>
    <t>Classement Sabre Hommes M11</t>
  </si>
  <si>
    <t>H2032 Besançon</t>
  </si>
  <si>
    <t>Classement Sabre Hommes M15</t>
  </si>
  <si>
    <t>Challenge Sabres Roses</t>
  </si>
  <si>
    <t>Challenge Dugesclin Dinan</t>
  </si>
  <si>
    <t>Classement Sabre Hommes M9</t>
  </si>
  <si>
    <t>Circuit Régional Pontivy</t>
  </si>
  <si>
    <t>Circuit Régional St Grégoire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</si>
  <si>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</si>
  <si>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</si>
  <si>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</si>
  <si>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</si>
  <si>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</si>
  <si>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</si>
  <si>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</si>
  <si>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</si>
  <si>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</si>
  <si>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EN Montargis</t>
  </si>
  <si>
    <t>CN elite Sabre PAU</t>
  </si>
  <si>
    <t>Classement Sabre Hommes Vétérans</t>
  </si>
  <si>
    <t>Coupe de Bretagne Pontivy</t>
  </si>
  <si>
    <t>Classement Sabre Dames Vétérans</t>
  </si>
  <si>
    <t>Coupe du futur St Brieuc</t>
  </si>
  <si>
    <t>Challenge de France Thonon</t>
  </si>
  <si>
    <t>H2032 ST Brieuc</t>
  </si>
  <si>
    <t>H2032 Montargis</t>
  </si>
  <si>
    <t>FDJ MACON</t>
  </si>
  <si>
    <t>CN Sabre strasbourg</t>
  </si>
  <si>
    <t>CN Sabre PAU</t>
  </si>
  <si>
    <t>CN Sabre Tarbes</t>
  </si>
  <si>
    <t>Coupe de Bretagne Fougères</t>
  </si>
  <si>
    <t>Championnat de France Vannes</t>
  </si>
  <si>
    <t>CN Sabre Strasbourg</t>
  </si>
  <si>
    <t>Championnat de France Charenton</t>
  </si>
  <si>
    <t>EN Charleville</t>
  </si>
  <si>
    <t>Championnat de Bretagne Betton</t>
  </si>
  <si>
    <t>Championnat de france L'aigle</t>
  </si>
  <si>
    <t>Classement Sabre hommes Senior</t>
  </si>
  <si>
    <t>1 BUTEL PLIQUE Julian BETTON CS FRA</t>
  </si>
  <si>
    <t>2 PFEUTY Emmanuel ST BRIEUC CE FRA</t>
  </si>
  <si>
    <t>3 BOUJRAD-BENAUD Gael BETTON CS FRA</t>
  </si>
  <si>
    <t>4 TOSUN Axel BETTON CS FRA</t>
  </si>
  <si>
    <t>5 LAFAGE Paul CEP VANNES FRA</t>
  </si>
  <si>
    <t>6 BLAES Tristan CEC FRA</t>
  </si>
  <si>
    <t>6 FLAMENT Alexandre BETTON CS FRA</t>
  </si>
  <si>
    <t>8 DUMAS Gaspard BREST RAPIER FRA</t>
  </si>
  <si>
    <t>9 DUBOUIL Ylann LANNIONASPTT FRA</t>
  </si>
  <si>
    <t>10 APPERE-RABIER Martin ST BRIEUC CE FRA</t>
  </si>
  <si>
    <t>11 KERGOSIEN Baptiste BETTON CS FRA</t>
  </si>
  <si>
    <t>12 DEFFAINS Clément BETTON CS FRA</t>
  </si>
  <si>
    <t>13 TRAVERS Timothee FOUGERES CE FRA</t>
  </si>
  <si>
    <t>14 DOUARIN Achille BREST RAPIER FRA</t>
  </si>
  <si>
    <t>15 LE PORT HERRERO François CEP VANNES FRA</t>
  </si>
  <si>
    <t>16 CADIEU Hugo FOUGERES CE FRA</t>
  </si>
  <si>
    <t>17 COUTEAU Arsene FOUGERES CE FRA</t>
  </si>
  <si>
    <t>18 GLATRE Louison PONTIVY FRA</t>
  </si>
  <si>
    <t>19 SENAN Augustin CEP VANNES FRA</t>
  </si>
  <si>
    <t>20 BALLO Issa ST BRIEUC CE FRA</t>
  </si>
  <si>
    <t>21 JOLY Konwen PONTIVY FRA</t>
  </si>
  <si>
    <t>22 MADEC Enzo PONTIVY FRA</t>
  </si>
  <si>
    <t>23 HASSANI Noa BREST RAPIER FRA</t>
  </si>
  <si>
    <t>BUTEL PLIQUE</t>
  </si>
  <si>
    <t>Julian</t>
  </si>
  <si>
    <t>BETTON CS</t>
  </si>
  <si>
    <t>ST BRIEUC CE</t>
  </si>
  <si>
    <t>Emmanuel</t>
  </si>
  <si>
    <t>PFEUTY</t>
  </si>
  <si>
    <t>BOUJRAD-BENAUD</t>
  </si>
  <si>
    <t>Gael</t>
  </si>
  <si>
    <t>TOSUN</t>
  </si>
  <si>
    <t>Axel</t>
  </si>
  <si>
    <t>LAFAGE</t>
  </si>
  <si>
    <t>Paul</t>
  </si>
  <si>
    <t>CEP VANNES</t>
  </si>
  <si>
    <t>BLAES</t>
  </si>
  <si>
    <t>Tristan</t>
  </si>
  <si>
    <t>CEC</t>
  </si>
  <si>
    <t>FLAMENT</t>
  </si>
  <si>
    <t>Alexandre</t>
  </si>
  <si>
    <t>DUMAS</t>
  </si>
  <si>
    <t>Gaspard</t>
  </si>
  <si>
    <t>BREST RAPIER</t>
  </si>
  <si>
    <t>Ylann</t>
  </si>
  <si>
    <t>DUBOUIL</t>
  </si>
  <si>
    <t>LANNIONASPTT</t>
  </si>
  <si>
    <t>APPERE-RABIER</t>
  </si>
  <si>
    <t>Martin</t>
  </si>
  <si>
    <t>KERGOSIEN</t>
  </si>
  <si>
    <t>Baptiste</t>
  </si>
  <si>
    <t>CEP FOUGERES</t>
  </si>
  <si>
    <t>PONTIVY</t>
  </si>
  <si>
    <t>DEFFAINS</t>
  </si>
  <si>
    <t>Clément</t>
  </si>
  <si>
    <t>TRAVERS</t>
  </si>
  <si>
    <t>Timothee</t>
  </si>
  <si>
    <t>DOUARIN</t>
  </si>
  <si>
    <t>Achille</t>
  </si>
  <si>
    <t>LE PORT HERRERO</t>
  </si>
  <si>
    <t>François</t>
  </si>
  <si>
    <t>CADIEU</t>
  </si>
  <si>
    <t>Hugo</t>
  </si>
  <si>
    <t>COUTEAU</t>
  </si>
  <si>
    <t>Arsene</t>
  </si>
  <si>
    <t>GLATRE</t>
  </si>
  <si>
    <t>Louison</t>
  </si>
  <si>
    <t>SENAN</t>
  </si>
  <si>
    <t>Augustin</t>
  </si>
  <si>
    <t>Issa</t>
  </si>
  <si>
    <t>BALLO</t>
  </si>
  <si>
    <t>JOLY</t>
  </si>
  <si>
    <t>Konwen</t>
  </si>
  <si>
    <t>MADEC</t>
  </si>
  <si>
    <t>Enzo</t>
  </si>
  <si>
    <t>HASSANI</t>
  </si>
  <si>
    <t>Noa</t>
  </si>
  <si>
    <t>ST GREGOIRE</t>
  </si>
  <si>
    <t>EQC</t>
  </si>
  <si>
    <t>BESNARD</t>
  </si>
  <si>
    <t>Maïwenn</t>
  </si>
  <si>
    <t>GAYET</t>
  </si>
  <si>
    <t>Camille</t>
  </si>
  <si>
    <t>MONTIER</t>
  </si>
  <si>
    <t>Clothilde</t>
  </si>
  <si>
    <t>LE BORGNE</t>
  </si>
  <si>
    <t>Louann</t>
  </si>
  <si>
    <t>PREMEL</t>
  </si>
  <si>
    <t>Danaé</t>
  </si>
  <si>
    <t>BRONSARD</t>
  </si>
  <si>
    <t>Anaïs</t>
  </si>
  <si>
    <t>DAVID MELEUX</t>
  </si>
  <si>
    <t>Molène</t>
  </si>
  <si>
    <t>MARTIN-GOUSSET</t>
  </si>
  <si>
    <t>Ysée</t>
  </si>
  <si>
    <t>AUBERT MORIN</t>
  </si>
  <si>
    <t>Eloïse</t>
  </si>
  <si>
    <t>ROBERT</t>
  </si>
  <si>
    <t>Charlotte</t>
  </si>
  <si>
    <t>JACOBEE</t>
  </si>
  <si>
    <t>Philippine</t>
  </si>
  <si>
    <t>DELZONGLE</t>
  </si>
  <si>
    <t>Julianne</t>
  </si>
  <si>
    <t>AMEDEO</t>
  </si>
  <si>
    <t>Louise</t>
  </si>
  <si>
    <t>PAUGAM</t>
  </si>
  <si>
    <t>Rose</t>
  </si>
  <si>
    <t>BEGOC</t>
  </si>
  <si>
    <t>Bleuenn</t>
  </si>
  <si>
    <t>TRAVERSINO</t>
  </si>
  <si>
    <t>Caelhan</t>
  </si>
  <si>
    <t>BLOUET LERAN</t>
  </si>
  <si>
    <t>Josephine</t>
  </si>
  <si>
    <t>SICARD</t>
  </si>
  <si>
    <t>Lucille</t>
  </si>
  <si>
    <t>MOCAER</t>
  </si>
  <si>
    <t>Madeg</t>
  </si>
  <si>
    <t>Maxime</t>
  </si>
  <si>
    <t>ELRUSHEIDAT</t>
  </si>
  <si>
    <t>Mazen</t>
  </si>
  <si>
    <t>LAURENT</t>
  </si>
  <si>
    <t>Kailhan</t>
  </si>
  <si>
    <t>ROBINET</t>
  </si>
  <si>
    <t>Ewen</t>
  </si>
  <si>
    <t>MARTIN GOUSSET</t>
  </si>
  <si>
    <t>Ely</t>
  </si>
  <si>
    <t>BARRAS</t>
  </si>
  <si>
    <t>Angélo</t>
  </si>
  <si>
    <t>LE GUERN</t>
  </si>
  <si>
    <t>Titouan</t>
  </si>
  <si>
    <t>INGRAND</t>
  </si>
  <si>
    <t>Hadrien</t>
  </si>
  <si>
    <t>LACOSTE</t>
  </si>
  <si>
    <t>GRAFFE</t>
  </si>
  <si>
    <t>Guilhem</t>
  </si>
  <si>
    <t>LE GALL</t>
  </si>
  <si>
    <t>Elias</t>
  </si>
  <si>
    <t>KERVIAN</t>
  </si>
  <si>
    <t>Jonas</t>
  </si>
  <si>
    <t>Leane</t>
  </si>
  <si>
    <t>DINAN EA</t>
  </si>
  <si>
    <t>GILBON</t>
  </si>
  <si>
    <t>2 LE COCQUEN</t>
  </si>
  <si>
    <t>Aisha</t>
  </si>
  <si>
    <t>3 LONGCHAMP</t>
  </si>
  <si>
    <t>Lise</t>
  </si>
  <si>
    <t>LEROY GIROUX</t>
  </si>
  <si>
    <t>Teo</t>
  </si>
  <si>
    <t>KECK-PARAIRE</t>
  </si>
  <si>
    <t>Aodhan</t>
  </si>
  <si>
    <t>MASSERET</t>
  </si>
  <si>
    <t>Aaron</t>
  </si>
  <si>
    <t>Jules</t>
  </si>
  <si>
    <t>JAMET LE PROVOST</t>
  </si>
  <si>
    <t>Gaël</t>
  </si>
  <si>
    <t>JOURNO DANET</t>
  </si>
  <si>
    <t>Basile</t>
  </si>
  <si>
    <t>BREDOUX</t>
  </si>
  <si>
    <t>Theodore</t>
  </si>
  <si>
    <t>COULOMBEL</t>
  </si>
  <si>
    <t>MALEK</t>
  </si>
  <si>
    <t>Aylan</t>
  </si>
  <si>
    <t>PRODHOMME</t>
  </si>
  <si>
    <t>Margaux</t>
  </si>
  <si>
    <t>Zoé</t>
  </si>
  <si>
    <t>Eleanore</t>
  </si>
  <si>
    <t>Hanae</t>
  </si>
  <si>
    <t>Clémence</t>
  </si>
  <si>
    <t>Sixtine</t>
  </si>
  <si>
    <t>GOUZERCH DOUAUD</t>
  </si>
  <si>
    <t>RUELLOUX</t>
  </si>
  <si>
    <t>SALVAN-LABATUT</t>
  </si>
  <si>
    <t>DANIGO</t>
  </si>
  <si>
    <t>PALMACE</t>
  </si>
  <si>
    <t>GEORGELIN</t>
  </si>
  <si>
    <t>Victor</t>
  </si>
  <si>
    <t>DEVERSON</t>
  </si>
  <si>
    <t>EVS</t>
  </si>
  <si>
    <t>Gabin</t>
  </si>
  <si>
    <t>CHABERT</t>
  </si>
  <si>
    <t>BESSE</t>
  </si>
  <si>
    <t>BREDOUX NAUCZYCIEL</t>
  </si>
  <si>
    <t>Joshua</t>
  </si>
  <si>
    <t>OMNES PALOMBA</t>
  </si>
  <si>
    <t>Thomas</t>
  </si>
  <si>
    <t>JAFFRE</t>
  </si>
  <si>
    <t>louen</t>
  </si>
  <si>
    <t>PILLIE</t>
  </si>
  <si>
    <t>Jude</t>
  </si>
  <si>
    <t>AUBREE</t>
  </si>
  <si>
    <t>Malo</t>
  </si>
  <si>
    <t>KERGOURLAY</t>
  </si>
  <si>
    <t>Mahé</t>
  </si>
  <si>
    <t>LE MAZOU</t>
  </si>
  <si>
    <t>Antonin</t>
  </si>
  <si>
    <t>Marin</t>
  </si>
  <si>
    <t>LEFEBVRE</t>
  </si>
  <si>
    <t>LE GALLIC</t>
  </si>
  <si>
    <t>GUYONNET</t>
  </si>
  <si>
    <t>ANTIN</t>
  </si>
  <si>
    <t>RAFFRAY</t>
  </si>
  <si>
    <t>Alexis</t>
  </si>
  <si>
    <t>MERCAT</t>
  </si>
  <si>
    <t>Eliott</t>
  </si>
  <si>
    <t>CHAPEL</t>
  </si>
  <si>
    <t>Thaîs</t>
  </si>
  <si>
    <t>BRAMOULLE</t>
  </si>
  <si>
    <t>LE BORGNIC PARANTHOEN</t>
  </si>
  <si>
    <t>Aela</t>
  </si>
  <si>
    <t>KERVICHE</t>
  </si>
  <si>
    <t>Alwenna</t>
  </si>
  <si>
    <t>GUILLARD-GOUBAULT</t>
  </si>
  <si>
    <t>Jeanne</t>
  </si>
  <si>
    <t>Alice</t>
  </si>
  <si>
    <t>HAVY</t>
  </si>
  <si>
    <t>Alwena</t>
  </si>
  <si>
    <t>FOURMOND</t>
  </si>
  <si>
    <t>Charlize</t>
  </si>
  <si>
    <t>CORBIN</t>
  </si>
  <si>
    <t>Clara</t>
  </si>
  <si>
    <t>LESACHER</t>
  </si>
  <si>
    <t>Suliac</t>
  </si>
  <si>
    <t>GERGOY</t>
  </si>
  <si>
    <t>Aubin</t>
  </si>
  <si>
    <t>QUESNEL</t>
  </si>
  <si>
    <t>Ewan</t>
  </si>
  <si>
    <t>LE MAITRE</t>
  </si>
  <si>
    <t>Loris</t>
  </si>
  <si>
    <t>DE PARSEVAL</t>
  </si>
  <si>
    <t>Arthur</t>
  </si>
  <si>
    <t>LAMOUR</t>
  </si>
  <si>
    <t>Gabriel</t>
  </si>
  <si>
    <t>NOEL</t>
  </si>
  <si>
    <t>Raphaël</t>
  </si>
  <si>
    <t>COMMEUREUC</t>
  </si>
  <si>
    <t>Morgan</t>
  </si>
  <si>
    <t>PEN</t>
  </si>
  <si>
    <t>JUCHET PASQUIER</t>
  </si>
  <si>
    <t>GARNIER</t>
  </si>
  <si>
    <t>Lucas</t>
  </si>
  <si>
    <t>CLOLUS</t>
  </si>
  <si>
    <t>Noé</t>
  </si>
  <si>
    <t>GACEL</t>
  </si>
  <si>
    <t>MESSAGER</t>
  </si>
  <si>
    <t>ODIC</t>
  </si>
  <si>
    <t>Jonathans</t>
  </si>
  <si>
    <t>JEANNE</t>
  </si>
  <si>
    <t>Octave</t>
  </si>
  <si>
    <t xml:space="preserve">HERVAGAULT </t>
  </si>
  <si>
    <t xml:space="preserve"> HELOISE </t>
  </si>
  <si>
    <t xml:space="preserve">  BREST RAPIER  </t>
  </si>
  <si>
    <t xml:space="preserve"> EMILIE </t>
  </si>
  <si>
    <t xml:space="preserve"> FLAMENT </t>
  </si>
  <si>
    <t xml:space="preserve"> NOEMIE </t>
  </si>
  <si>
    <t xml:space="preserve">  BREST RAPIER </t>
  </si>
  <si>
    <t xml:space="preserve">LE GAC BRIAND </t>
  </si>
  <si>
    <t xml:space="preserve"> ULYSSE </t>
  </si>
  <si>
    <t xml:space="preserve">  CEP VANNES  </t>
  </si>
  <si>
    <t xml:space="preserve">PALLUD </t>
  </si>
  <si>
    <t xml:space="preserve"> GABRIEL </t>
  </si>
  <si>
    <t xml:space="preserve">  BETTON CS</t>
  </si>
  <si>
    <t xml:space="preserve">BIDAULT </t>
  </si>
  <si>
    <t xml:space="preserve"> ACHILLE </t>
  </si>
  <si>
    <t xml:space="preserve">  BETTON CS </t>
  </si>
  <si>
    <t xml:space="preserve"> JAGLIN </t>
  </si>
  <si>
    <t xml:space="preserve"> MEWEN </t>
  </si>
  <si>
    <t xml:space="preserve">  ST BRIEUC CE</t>
  </si>
  <si>
    <t xml:space="preserve"> BLEUZEN </t>
  </si>
  <si>
    <t xml:space="preserve"> THELIO </t>
  </si>
  <si>
    <t xml:space="preserve">  BREST RAPIER</t>
  </si>
  <si>
    <t xml:space="preserve">SOREL </t>
  </si>
  <si>
    <t xml:space="preserve"> ARTHUR </t>
  </si>
  <si>
    <t xml:space="preserve">  CEP VANNES</t>
  </si>
  <si>
    <t xml:space="preserve">DAVID-MELEUX </t>
  </si>
  <si>
    <t xml:space="preserve"> MARIN </t>
  </si>
  <si>
    <t xml:space="preserve">POUHAER </t>
  </si>
  <si>
    <t xml:space="preserve"> ESTEBAN </t>
  </si>
  <si>
    <t xml:space="preserve">  CEP VANNES </t>
  </si>
  <si>
    <t xml:space="preserve">AMIS </t>
  </si>
  <si>
    <t xml:space="preserve">  ST BRIEUC CE  </t>
  </si>
  <si>
    <t xml:space="preserve">FLAMENT </t>
  </si>
  <si>
    <t xml:space="preserve">BLOUET LERAN </t>
  </si>
  <si>
    <t xml:space="preserve"> JOSEPHINE </t>
  </si>
  <si>
    <t xml:space="preserve">BIDAULT-HARRE </t>
  </si>
  <si>
    <t xml:space="preserve"> LOUISE </t>
  </si>
  <si>
    <t xml:space="preserve">  PONTIVY  </t>
  </si>
  <si>
    <t xml:space="preserve"> HECTOR </t>
  </si>
  <si>
    <t xml:space="preserve">LAUNAY </t>
  </si>
  <si>
    <t xml:space="preserve"> MARVIN </t>
  </si>
  <si>
    <t xml:space="preserve">BOUJRAD-BENAUD </t>
  </si>
  <si>
    <t xml:space="preserve"> GAEL </t>
  </si>
  <si>
    <t xml:space="preserve">BUTEL PLIQUE </t>
  </si>
  <si>
    <t xml:space="preserve"> JULIAN </t>
  </si>
  <si>
    <t>DANIEL</t>
  </si>
  <si>
    <t>DINARD LAMES</t>
  </si>
  <si>
    <t>INTHO</t>
  </si>
  <si>
    <t>Maho</t>
  </si>
  <si>
    <t>SAVINA</t>
  </si>
  <si>
    <t>Mathieu</t>
  </si>
  <si>
    <t>BOULOU</t>
  </si>
  <si>
    <t>Marc-Eliott</t>
  </si>
  <si>
    <t>HENON</t>
  </si>
  <si>
    <t>LE BONHOMME</t>
  </si>
  <si>
    <t>FANIEN HUE</t>
  </si>
  <si>
    <t>Antoine</t>
  </si>
  <si>
    <t>LE CAPITAINE</t>
  </si>
  <si>
    <t>Luka</t>
  </si>
  <si>
    <t>HIET GUIHUR</t>
  </si>
  <si>
    <t>LE LAOUENAN</t>
  </si>
  <si>
    <t>Meven</t>
  </si>
  <si>
    <t>GRESSIN</t>
  </si>
  <si>
    <t>Ethan</t>
  </si>
  <si>
    <t>GUIDER-CHODOSAS</t>
  </si>
  <si>
    <t>Solal</t>
  </si>
  <si>
    <t>CE ST BRIEUC</t>
  </si>
  <si>
    <t xml:space="preserve"> BREST RAPIER</t>
  </si>
  <si>
    <t>FRESNEAU</t>
  </si>
  <si>
    <t>MAIWENN</t>
  </si>
  <si>
    <t>LANTHIER</t>
  </si>
  <si>
    <t>Théau</t>
  </si>
  <si>
    <t>DUCAMP</t>
  </si>
  <si>
    <t>Enoal</t>
  </si>
  <si>
    <t xml:space="preserve">PONTIVY  </t>
  </si>
  <si>
    <t xml:space="preserve">BREST RAPIER </t>
  </si>
  <si>
    <t>BOTTARLINI</t>
  </si>
  <si>
    <t>LEFEUVRE</t>
  </si>
  <si>
    <t>Vadim</t>
  </si>
  <si>
    <t>FONTAINE</t>
  </si>
  <si>
    <t>FERRIER</t>
  </si>
  <si>
    <t>Jérémie</t>
  </si>
  <si>
    <t>POESENNA</t>
  </si>
  <si>
    <t>Lucy</t>
  </si>
  <si>
    <t>CHOISEAU</t>
  </si>
  <si>
    <t>LE BOULER</t>
  </si>
  <si>
    <t>LEGRAND</t>
  </si>
  <si>
    <t>Bertille</t>
  </si>
  <si>
    <t>VIGOUROUX</t>
  </si>
  <si>
    <t>Romane</t>
  </si>
  <si>
    <t>BRUNET</t>
  </si>
  <si>
    <t>Agathe</t>
  </si>
  <si>
    <t>TAILLEPIED</t>
  </si>
  <si>
    <t>VIGNERON</t>
  </si>
  <si>
    <t>Armand</t>
  </si>
  <si>
    <t>Thais</t>
  </si>
  <si>
    <t>GEVORGYAN</t>
  </si>
  <si>
    <t>Any</t>
  </si>
  <si>
    <t>ANDORNETTI</t>
  </si>
  <si>
    <t>Oscar</t>
  </si>
  <si>
    <t>LYSSON</t>
  </si>
  <si>
    <t>Nils</t>
  </si>
  <si>
    <t>BRETON FABER</t>
  </si>
  <si>
    <t>Koulman</t>
  </si>
  <si>
    <t>POULAIN</t>
  </si>
  <si>
    <t>Ernest</t>
  </si>
  <si>
    <t>LEMAIRE</t>
  </si>
  <si>
    <t>GUILLOU</t>
  </si>
  <si>
    <t>Lian</t>
  </si>
  <si>
    <t>KNITTEL</t>
  </si>
  <si>
    <t>Chloé</t>
  </si>
  <si>
    <t>GUERET</t>
  </si>
  <si>
    <t>Liliy-Rose</t>
  </si>
  <si>
    <t>KOUICY</t>
  </si>
  <si>
    <t>Yanis</t>
  </si>
  <si>
    <t>PERCEVAULT</t>
  </si>
  <si>
    <t>DESPRES</t>
  </si>
  <si>
    <t>Constant</t>
  </si>
  <si>
    <t>MERCIER</t>
  </si>
  <si>
    <t>CHARBONNIER PONTIER</t>
  </si>
  <si>
    <t>Esteban</t>
  </si>
  <si>
    <t>CARPENTIER</t>
  </si>
  <si>
    <t>Luys</t>
  </si>
  <si>
    <t>Joran</t>
  </si>
  <si>
    <t>COROUGE</t>
  </si>
  <si>
    <t>Marius</t>
  </si>
  <si>
    <t>AIRAULT</t>
  </si>
  <si>
    <t>Joseph</t>
  </si>
  <si>
    <t>LE GONIDEC DE KERHALIC</t>
  </si>
  <si>
    <t>Liam</t>
  </si>
  <si>
    <t>Alwen</t>
  </si>
  <si>
    <t>Thaïs</t>
  </si>
  <si>
    <t>LEBRUN</t>
  </si>
  <si>
    <t>Maya</t>
  </si>
  <si>
    <t>Ilan</t>
  </si>
  <si>
    <t>LE BELLEGO</t>
  </si>
  <si>
    <t>DUCLOS</t>
  </si>
  <si>
    <t>GUIGUES</t>
  </si>
  <si>
    <t>BARREAUD</t>
  </si>
  <si>
    <t>léonard</t>
  </si>
  <si>
    <t>GUEGUEN</t>
  </si>
  <si>
    <t>Lialm</t>
  </si>
  <si>
    <t>QUERIEL</t>
  </si>
  <si>
    <t>Mattéo</t>
  </si>
  <si>
    <t>FAURE</t>
  </si>
  <si>
    <t>GODDE-LOOTEN</t>
  </si>
  <si>
    <t>Circuit Européen Madrid</t>
  </si>
  <si>
    <t>Circuit Européen Esslingen</t>
  </si>
  <si>
    <t>Coupe du monde Bucarest</t>
  </si>
  <si>
    <t>Coupe du futurRedon</t>
  </si>
  <si>
    <t>Coupe du futur Redon</t>
  </si>
  <si>
    <t>BEAUSIRE</t>
  </si>
  <si>
    <t>ABRIT</t>
  </si>
  <si>
    <t>JOSSEC</t>
  </si>
  <si>
    <t>GAUDICHEAU</t>
  </si>
  <si>
    <t>MAUDUIT</t>
  </si>
  <si>
    <t>Dorian</t>
  </si>
  <si>
    <t>ANDERSON</t>
  </si>
  <si>
    <t>COUPEZ</t>
  </si>
  <si>
    <t>Youn</t>
  </si>
  <si>
    <t>AUBRY</t>
  </si>
  <si>
    <t>Mathis</t>
  </si>
  <si>
    <t>CEP REDON</t>
  </si>
  <si>
    <t>CAHU</t>
  </si>
  <si>
    <t>Appollo</t>
  </si>
  <si>
    <t>Circuit Régional Redon</t>
  </si>
  <si>
    <t>BAR</t>
  </si>
  <si>
    <t>PINEL</t>
  </si>
  <si>
    <t>Mathilde</t>
  </si>
  <si>
    <t>GUIGES</t>
  </si>
  <si>
    <t>LANNION ASPTT</t>
  </si>
  <si>
    <t>Léonard</t>
  </si>
  <si>
    <t>LE TALLEC</t>
  </si>
  <si>
    <t>SYLVERE</t>
  </si>
  <si>
    <t>Pierre</t>
  </si>
  <si>
    <t xml:space="preserve">MARTIN-GOUSSET </t>
  </si>
  <si>
    <t>YSÉE</t>
  </si>
  <si>
    <t>²</t>
  </si>
  <si>
    <t>SAINT BRIEUC CE</t>
  </si>
  <si>
    <t>BETTON CP</t>
  </si>
  <si>
    <t>SAVIGNAN</t>
  </si>
  <si>
    <t>Cédric</t>
  </si>
  <si>
    <t>KECK PARAIRE</t>
  </si>
  <si>
    <t>Gwenael</t>
  </si>
  <si>
    <t>CHARRIER</t>
  </si>
  <si>
    <t>Christophe</t>
  </si>
  <si>
    <t>DESNOT LELOUP</t>
  </si>
  <si>
    <t>Guilian</t>
  </si>
  <si>
    <t xml:space="preserve"> BOUTIN</t>
  </si>
  <si>
    <t>LE PAPE</t>
  </si>
  <si>
    <t>Mathéo</t>
  </si>
  <si>
    <t>HERVAGAULT</t>
  </si>
  <si>
    <t>Hector</t>
  </si>
  <si>
    <t xml:space="preserve">RADENAC </t>
  </si>
  <si>
    <t>Nathan</t>
  </si>
  <si>
    <t xml:space="preserve">BARBE </t>
  </si>
  <si>
    <t>ASPTTLANNION</t>
  </si>
  <si>
    <t>MONNERAYE</t>
  </si>
  <si>
    <t>Maria</t>
  </si>
  <si>
    <t>TOUCHERY</t>
  </si>
  <si>
    <t>PLEVEN</t>
  </si>
  <si>
    <t>Yuna</t>
  </si>
  <si>
    <t>JARILLOT BONNARD</t>
  </si>
  <si>
    <t>Elliott</t>
  </si>
  <si>
    <t>Lizea</t>
  </si>
  <si>
    <t>HOUEZ</t>
  </si>
  <si>
    <t>Seva</t>
  </si>
  <si>
    <t>MOKDED</t>
  </si>
  <si>
    <t>Emnah</t>
  </si>
  <si>
    <t>Evangeline</t>
  </si>
  <si>
    <t>GUILLON</t>
  </si>
  <si>
    <t>PALLUD</t>
  </si>
  <si>
    <t>Yohann</t>
  </si>
  <si>
    <t>CRAS</t>
  </si>
  <si>
    <t>Mateo</t>
  </si>
  <si>
    <t>Guillaume</t>
  </si>
  <si>
    <t>COPROS</t>
  </si>
  <si>
    <t xml:space="preserve"> ST GREGOIRE</t>
  </si>
  <si>
    <t>BOUTIN</t>
  </si>
  <si>
    <t xml:space="preserve">PENNANGUER </t>
  </si>
  <si>
    <t>Mani</t>
  </si>
  <si>
    <t xml:space="preserve">BILLON </t>
  </si>
  <si>
    <t xml:space="preserve">SIDHOUM </t>
  </si>
  <si>
    <t>Mael</t>
  </si>
  <si>
    <t xml:space="preserve"> MALEK </t>
  </si>
  <si>
    <t>Billel</t>
  </si>
  <si>
    <t xml:space="preserve"> HIDALGO CORRE </t>
  </si>
  <si>
    <t xml:space="preserve"> DASIVLA </t>
  </si>
  <si>
    <t>Florian</t>
  </si>
  <si>
    <t>GAYRARD</t>
  </si>
  <si>
    <t>BOYELDIEU</t>
  </si>
  <si>
    <t>HUGO</t>
  </si>
  <si>
    <t>RENAULT</t>
  </si>
  <si>
    <t>Lina</t>
  </si>
  <si>
    <t>JOSSE</t>
  </si>
  <si>
    <t>Ernestine</t>
  </si>
  <si>
    <t>DENIEL</t>
  </si>
  <si>
    <t>Alban</t>
  </si>
  <si>
    <t>CALOHARD</t>
  </si>
  <si>
    <t>COBIGO</t>
  </si>
  <si>
    <t>Léo</t>
  </si>
  <si>
    <t>JEGO</t>
  </si>
  <si>
    <t>Louevan</t>
  </si>
  <si>
    <t>MICHEL</t>
  </si>
  <si>
    <t>Jocelyn</t>
  </si>
  <si>
    <t>LE SCORNET</t>
  </si>
  <si>
    <t>BARRENECHEA</t>
  </si>
  <si>
    <t>Héloïse</t>
  </si>
  <si>
    <t>HUSSON</t>
  </si>
  <si>
    <t>GOUTAY</t>
  </si>
  <si>
    <t>Jean-Paul</t>
  </si>
  <si>
    <t>BERTHE GROULT</t>
  </si>
  <si>
    <t>Aurélien</t>
  </si>
  <si>
    <t>NEAU</t>
  </si>
  <si>
    <t>PRAT</t>
  </si>
  <si>
    <t>Bastien</t>
  </si>
  <si>
    <t>ERNOULT</t>
  </si>
  <si>
    <t>Charline</t>
  </si>
  <si>
    <t>Arsène</t>
  </si>
  <si>
    <t>Coupe de Bretagne PONTIVY</t>
  </si>
  <si>
    <t>METAYER</t>
  </si>
  <si>
    <t>Robin</t>
  </si>
  <si>
    <t>MOUSSU</t>
  </si>
  <si>
    <t>Championnat de Bretagne Lamballe</t>
  </si>
  <si>
    <t>LUTIC</t>
  </si>
  <si>
    <t>Gwen</t>
  </si>
  <si>
    <t>FL Henon</t>
  </si>
  <si>
    <t>FERRE</t>
  </si>
  <si>
    <t>Kayla</t>
  </si>
  <si>
    <t>BRIENS</t>
  </si>
  <si>
    <t>FL HENON</t>
  </si>
  <si>
    <t>ROYANT</t>
  </si>
  <si>
    <t>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</si>
</sst>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4" borderId="1" xfId="0" applyNumberFormat="1" applyFill="1" applyBorder="1"/>
    <xf numFmtId="1" fontId="0" fillId="0" borderId="0" xfId="0" applyNumberFormat="1"/>
    <xf numFmtId="1" fontId="6" fillId="4" borderId="1" xfId="0" applyNumberFormat="1" applyFont="1" applyFill="1" applyBorder="1"/>
    <xf numFmtId="1" fontId="0" fillId="5" borderId="1" xfId="0" applyNumberFormat="1" applyFill="1" applyBorder="1"/>
    <xf numFmtId="0" fontId="7" fillId="0" borderId="1" xfId="0" applyFont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C13" sqref="C1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5.55468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88671875" customWidth="1"/>
  </cols>
  <sheetData>
    <row r="1" spans="1:14" ht="31.2" x14ac:dyDescent="0.6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4" x14ac:dyDescent="0.3">
      <c r="B3" s="2"/>
    </row>
    <row r="4" spans="1:14" x14ac:dyDescent="0.3">
      <c r="B4" s="2"/>
      <c r="C4" s="3"/>
    </row>
    <row r="6" spans="1:14" x14ac:dyDescent="0.3">
      <c r="D6" s="1" t="s">
        <v>0</v>
      </c>
      <c r="E6" s="28" t="s">
        <v>57</v>
      </c>
      <c r="F6" s="28"/>
      <c r="G6" s="28" t="s">
        <v>62</v>
      </c>
      <c r="H6" s="28"/>
      <c r="I6" s="28" t="s">
        <v>47</v>
      </c>
      <c r="J6" s="28"/>
      <c r="K6" s="28" t="s">
        <v>63</v>
      </c>
      <c r="L6" s="28"/>
    </row>
    <row r="7" spans="1:14" x14ac:dyDescent="0.3">
      <c r="D7" s="1" t="s">
        <v>10</v>
      </c>
      <c r="E7" s="25">
        <v>2</v>
      </c>
      <c r="F7" s="26"/>
      <c r="G7" s="25">
        <v>3</v>
      </c>
      <c r="H7" s="26"/>
      <c r="I7" s="25">
        <v>2</v>
      </c>
      <c r="J7" s="26"/>
      <c r="K7" s="25">
        <v>6</v>
      </c>
      <c r="L7" s="26"/>
    </row>
    <row r="8" spans="1:14" x14ac:dyDescent="0.3">
      <c r="D8" s="1" t="s">
        <v>1</v>
      </c>
      <c r="E8" s="31">
        <v>45312</v>
      </c>
      <c r="F8" s="31"/>
      <c r="G8" s="31">
        <v>45367</v>
      </c>
      <c r="H8" s="31"/>
      <c r="I8" s="31">
        <v>45389</v>
      </c>
      <c r="J8" s="31"/>
      <c r="K8" s="31">
        <v>45472</v>
      </c>
      <c r="L8" s="31"/>
    </row>
    <row r="9" spans="1:14" x14ac:dyDescent="0.3">
      <c r="D9" s="1" t="s">
        <v>2</v>
      </c>
      <c r="E9" s="28">
        <v>0</v>
      </c>
      <c r="F9" s="28"/>
      <c r="G9" s="28">
        <v>3</v>
      </c>
      <c r="H9" s="28"/>
      <c r="I9" s="28">
        <v>8</v>
      </c>
      <c r="J9" s="28"/>
      <c r="K9" s="28"/>
      <c r="L9" s="28"/>
    </row>
    <row r="10" spans="1:1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</row>
    <row r="11" spans="1:14" x14ac:dyDescent="0.3">
      <c r="A11" s="5">
        <f>N11</f>
        <v>1</v>
      </c>
      <c r="B11" s="6" t="s">
        <v>497</v>
      </c>
      <c r="C11" s="6" t="s">
        <v>498</v>
      </c>
      <c r="D11" s="6" t="s">
        <v>491</v>
      </c>
      <c r="E11" s="7"/>
      <c r="F11" s="7">
        <f>IF(E11=0,,($I$9-E11)*$I$7*100/$I$9)</f>
        <v>0</v>
      </c>
      <c r="G11" s="7">
        <v>1</v>
      </c>
      <c r="H11" s="7">
        <f>IF(G11=0,,($G$9-G11)*$G$7*100/$G$9)</f>
        <v>200</v>
      </c>
      <c r="I11" s="7"/>
      <c r="J11" s="7">
        <f>IF(I11=0,,($I$9-I11)*$I$7*100/$I$9)</f>
        <v>0</v>
      </c>
      <c r="K11" s="7"/>
      <c r="L11" s="7">
        <f>IF(K11=0,,($K$9-K11)*$K$7*100/$K$9)</f>
        <v>0</v>
      </c>
      <c r="M11" s="8">
        <f>F11+H11+J11+L11</f>
        <v>200</v>
      </c>
      <c r="N11" s="7">
        <f>ROW(B11)-10</f>
        <v>1</v>
      </c>
    </row>
    <row r="12" spans="1:14" x14ac:dyDescent="0.3">
      <c r="A12" s="5">
        <f>N12</f>
        <v>2</v>
      </c>
      <c r="B12" s="6" t="s">
        <v>575</v>
      </c>
      <c r="C12" s="6" t="s">
        <v>125</v>
      </c>
      <c r="D12" s="6" t="s">
        <v>143</v>
      </c>
      <c r="E12" s="7"/>
      <c r="F12" s="7">
        <f>IF(E12=0,,($I$9-E12)*$I$7*100/$I$9)</f>
        <v>0</v>
      </c>
      <c r="G12" s="7"/>
      <c r="H12" s="7">
        <f>IF(G12=0,,($G$9-G12)*$G$7*100/$G$9)</f>
        <v>0</v>
      </c>
      <c r="I12" s="7">
        <v>3</v>
      </c>
      <c r="J12" s="7">
        <f>IF(I12=0,,($I$9-I12)*$I$7*100/$I$9)</f>
        <v>125</v>
      </c>
      <c r="K12" s="7"/>
      <c r="L12" s="7">
        <f>IF(K12=0,,($K$9-K12)*$K$7*100/$K$9)</f>
        <v>0</v>
      </c>
      <c r="M12" s="8">
        <f>F12+H12+J12+L12</f>
        <v>125</v>
      </c>
      <c r="N12" s="7">
        <f>ROW(B12)-10</f>
        <v>2</v>
      </c>
    </row>
    <row r="13" spans="1:14" x14ac:dyDescent="0.3">
      <c r="A13" s="5">
        <f>N13</f>
        <v>3</v>
      </c>
      <c r="B13" s="6" t="s">
        <v>493</v>
      </c>
      <c r="C13" s="6" t="s">
        <v>494</v>
      </c>
      <c r="D13" s="6" t="s">
        <v>492</v>
      </c>
      <c r="E13" s="7"/>
      <c r="F13" s="7">
        <f>IF(E13=0,,($I$9-E13)*$I$7*100/$I$9)</f>
        <v>0</v>
      </c>
      <c r="G13" s="7">
        <v>2</v>
      </c>
      <c r="H13" s="7">
        <f>IF(G13=0,,($G$9-G13)*$G$7*100/$G$9)</f>
        <v>100</v>
      </c>
      <c r="I13" s="7"/>
      <c r="J13" s="7">
        <f>IF(I13=0,,($I$9-I13)*$I$7*100/$I$9)</f>
        <v>0</v>
      </c>
      <c r="K13" s="7"/>
      <c r="L13" s="7">
        <f>IF(K13=0,,($K$9-K13)*$K$7*100/$K$9)</f>
        <v>0</v>
      </c>
      <c r="M13" s="8">
        <f>F13+H13+J13+L13</f>
        <v>100</v>
      </c>
      <c r="N13" s="7">
        <f>ROW(B13)-10</f>
        <v>3</v>
      </c>
    </row>
    <row r="14" spans="1:14" x14ac:dyDescent="0.3">
      <c r="A14" s="5">
        <f>N14</f>
        <v>4</v>
      </c>
      <c r="B14" s="6" t="s">
        <v>495</v>
      </c>
      <c r="C14" s="6" t="s">
        <v>496</v>
      </c>
      <c r="D14" s="6" t="s">
        <v>492</v>
      </c>
      <c r="E14" s="7"/>
      <c r="F14" s="7">
        <f>IF(E14=0,,($I$9-E14)*$I$7*100/$I$9)</f>
        <v>0</v>
      </c>
      <c r="G14" s="7">
        <v>3</v>
      </c>
      <c r="H14" s="7">
        <f>100/2</f>
        <v>50</v>
      </c>
      <c r="I14" s="7"/>
      <c r="J14" s="7">
        <f>IF(I14=0,,($I$9-I14)*$I$7*100/$I$9)</f>
        <v>0</v>
      </c>
      <c r="K14" s="7"/>
      <c r="L14" s="7">
        <f>IF(K14=0,,($K$9-K14)*$K$7*100/$K$9)</f>
        <v>0</v>
      </c>
      <c r="M14" s="8">
        <f>F14+H14+J14+L14</f>
        <v>50</v>
      </c>
      <c r="N14" s="7">
        <f>ROW(B14)-10</f>
        <v>4</v>
      </c>
    </row>
    <row r="15" spans="1:14" x14ac:dyDescent="0.3">
      <c r="A15" s="5">
        <f t="shared" ref="A15:A33" si="0">N15</f>
        <v>5</v>
      </c>
      <c r="B15" s="6"/>
      <c r="C15" s="6"/>
      <c r="D15" s="6"/>
      <c r="E15" s="6"/>
      <c r="F15" s="7">
        <f t="shared" ref="F15:F33" si="1">IF(E15=0,,($I$9-E15)*$I$7*100/$I$9)</f>
        <v>0</v>
      </c>
      <c r="G15" s="6"/>
      <c r="H15" s="7">
        <f t="shared" ref="H15:H33" si="2">IF(G15=0,,($G$9-G15)*$G$7*100/$G$9)</f>
        <v>0</v>
      </c>
      <c r="I15" s="6"/>
      <c r="J15" s="7">
        <f t="shared" ref="J15:J33" si="3">IF(I15=0,,($I$9-I15)*$I$7*100/$I$9)</f>
        <v>0</v>
      </c>
      <c r="K15" s="6"/>
      <c r="L15" s="7">
        <f t="shared" ref="L15:L33" si="4">IF(K15=0,,($K$9-K15)*$K$7*100/$K$9)</f>
        <v>0</v>
      </c>
      <c r="M15" s="8">
        <f t="shared" ref="M15:M33" si="5">F15+H15+J15+L15</f>
        <v>0</v>
      </c>
      <c r="N15" s="6">
        <f t="shared" ref="N15:N24" si="6">ROW(B15)-10</f>
        <v>5</v>
      </c>
    </row>
    <row r="16" spans="1:14" x14ac:dyDescent="0.3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8">
        <f t="shared" si="5"/>
        <v>0</v>
      </c>
      <c r="N16" s="7">
        <f t="shared" si="6"/>
        <v>6</v>
      </c>
    </row>
    <row r="17" spans="1:14" x14ac:dyDescent="0.3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8">
        <f t="shared" si="5"/>
        <v>0</v>
      </c>
      <c r="N17" s="7">
        <f t="shared" si="6"/>
        <v>7</v>
      </c>
    </row>
    <row r="18" spans="1:14" x14ac:dyDescent="0.3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si="3"/>
        <v>0</v>
      </c>
      <c r="K18" s="7"/>
      <c r="L18" s="7">
        <f t="shared" si="4"/>
        <v>0</v>
      </c>
      <c r="M18" s="8">
        <f t="shared" si="5"/>
        <v>0</v>
      </c>
      <c r="N18" s="7">
        <f t="shared" si="6"/>
        <v>8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8">
        <f t="shared" si="5"/>
        <v>0</v>
      </c>
      <c r="N19" s="6">
        <f t="shared" si="6"/>
        <v>9</v>
      </c>
    </row>
    <row r="20" spans="1:14" x14ac:dyDescent="0.3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4"/>
        <v>0</v>
      </c>
      <c r="M20" s="8">
        <f t="shared" si="5"/>
        <v>0</v>
      </c>
      <c r="N20" s="6">
        <f t="shared" si="6"/>
        <v>10</v>
      </c>
    </row>
    <row r="21" spans="1:1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4"/>
        <v>0</v>
      </c>
      <c r="M21" s="8">
        <f t="shared" si="5"/>
        <v>0</v>
      </c>
      <c r="N21" s="6">
        <f t="shared" si="6"/>
        <v>11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8">
        <f t="shared" si="5"/>
        <v>0</v>
      </c>
      <c r="N22" s="6">
        <f t="shared" si="6"/>
        <v>12</v>
      </c>
    </row>
    <row r="23" spans="1:14" x14ac:dyDescent="0.3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6"/>
      <c r="L23" s="7">
        <f t="shared" si="4"/>
        <v>0</v>
      </c>
      <c r="M23" s="8">
        <f t="shared" si="5"/>
        <v>0</v>
      </c>
      <c r="N23" s="6">
        <f t="shared" si="6"/>
        <v>13</v>
      </c>
    </row>
    <row r="24" spans="1:1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8">
        <f t="shared" si="5"/>
        <v>0</v>
      </c>
      <c r="N24" s="6">
        <f t="shared" si="6"/>
        <v>14</v>
      </c>
    </row>
    <row r="25" spans="1:14" x14ac:dyDescent="0.3">
      <c r="A25" s="5">
        <f t="shared" si="0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8">
        <f t="shared" si="5"/>
        <v>0</v>
      </c>
      <c r="N25" s="6"/>
    </row>
    <row r="26" spans="1:14" x14ac:dyDescent="0.3">
      <c r="A26" s="5">
        <f t="shared" si="0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8">
        <f t="shared" si="5"/>
        <v>0</v>
      </c>
      <c r="N26" s="6"/>
    </row>
    <row r="27" spans="1:14" x14ac:dyDescent="0.3">
      <c r="A27" s="5">
        <f t="shared" si="0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si="4"/>
        <v>0</v>
      </c>
      <c r="M27" s="8">
        <f t="shared" si="5"/>
        <v>0</v>
      </c>
      <c r="N27" s="6"/>
    </row>
    <row r="28" spans="1:14" x14ac:dyDescent="0.3">
      <c r="A28" s="5">
        <f t="shared" si="0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8">
        <f t="shared" si="5"/>
        <v>0</v>
      </c>
      <c r="N28" s="6"/>
    </row>
    <row r="29" spans="1:14" x14ac:dyDescent="0.3">
      <c r="A29" s="5">
        <f t="shared" si="0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4"/>
        <v>0</v>
      </c>
      <c r="M29" s="8">
        <f t="shared" si="5"/>
        <v>0</v>
      </c>
      <c r="N29" s="6"/>
    </row>
    <row r="30" spans="1:14" x14ac:dyDescent="0.3">
      <c r="A30" s="5">
        <f t="shared" si="0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8">
        <f t="shared" si="5"/>
        <v>0</v>
      </c>
      <c r="N30" s="6"/>
    </row>
    <row r="31" spans="1:14" x14ac:dyDescent="0.3">
      <c r="A31" s="5">
        <f t="shared" si="0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8">
        <f t="shared" si="5"/>
        <v>0</v>
      </c>
      <c r="N31" s="6"/>
    </row>
    <row r="32" spans="1:14" x14ac:dyDescent="0.3">
      <c r="A32" s="5">
        <f t="shared" si="0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8">
        <f t="shared" si="5"/>
        <v>0</v>
      </c>
      <c r="N32" s="6"/>
    </row>
    <row r="33" spans="1:14" x14ac:dyDescent="0.3">
      <c r="A33" s="5">
        <f t="shared" si="0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4"/>
        <v>0</v>
      </c>
      <c r="M33" s="8">
        <f t="shared" si="5"/>
        <v>0</v>
      </c>
      <c r="N33" s="6"/>
    </row>
    <row r="34" spans="1:14" x14ac:dyDescent="0.3">
      <c r="A34" s="29" t="s">
        <v>18</v>
      </c>
      <c r="B34" s="29"/>
      <c r="C34" s="30"/>
      <c r="E34">
        <f>COUNTA(E11:E33)</f>
        <v>0</v>
      </c>
      <c r="G34">
        <f>COUNTA(G11:G33)</f>
        <v>3</v>
      </c>
      <c r="I34">
        <f>COUNTA(I11:I33)</f>
        <v>1</v>
      </c>
      <c r="K34">
        <f>COUNTA(K11:K33)</f>
        <v>0</v>
      </c>
    </row>
  </sheetData>
  <sortState xmlns:xlrd2="http://schemas.microsoft.com/office/spreadsheetml/2017/richdata2" ref="A11:N14">
    <sortCondition descending="1" ref="M11:M14"/>
  </sortState>
  <mergeCells count="18"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5"/>
  <sheetViews>
    <sheetView zoomScale="77" zoomScaleNormal="77" workbookViewId="0">
      <pane xSplit="5" ySplit="10" topLeftCell="H11" activePane="bottomRight" state="frozenSplit"/>
      <selection pane="topRight" activeCell="D26" sqref="D26"/>
      <selection pane="bottomLeft" activeCell="D26" sqref="D26"/>
      <selection pane="bottomRight" activeCell="G3" sqref="G3"/>
    </sheetView>
  </sheetViews>
  <sheetFormatPr baseColWidth="10" defaultRowHeight="14.4" x14ac:dyDescent="0.3"/>
  <cols>
    <col min="1" max="1" width="18.33203125" bestFit="1" customWidth="1"/>
    <col min="2" max="2" width="55.88671875" bestFit="1" customWidth="1"/>
    <col min="5" max="5" width="14.886718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88671875" bestFit="1" customWidth="1"/>
    <col min="23" max="23" width="19.6640625" bestFit="1" customWidth="1"/>
  </cols>
  <sheetData>
    <row r="1" spans="1:23" ht="31.2" x14ac:dyDescent="0.6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3" x14ac:dyDescent="0.3">
      <c r="E2" s="33" t="s">
        <v>36</v>
      </c>
      <c r="F2" s="33"/>
      <c r="G2" s="15">
        <f>COUNTA(B11:B43)</f>
        <v>32</v>
      </c>
    </row>
    <row r="3" spans="1:23" x14ac:dyDescent="0.3">
      <c r="E3" s="33" t="s">
        <v>38</v>
      </c>
      <c r="F3" s="33"/>
      <c r="G3" s="15">
        <f>COUNTA(F8:S8)</f>
        <v>7</v>
      </c>
    </row>
    <row r="4" spans="1:23" x14ac:dyDescent="0.3">
      <c r="A4" s="10"/>
      <c r="B4" s="11" t="s">
        <v>24</v>
      </c>
      <c r="C4" s="3"/>
      <c r="D4" s="3"/>
    </row>
    <row r="6" spans="1:23" x14ac:dyDescent="0.3">
      <c r="E6" s="1" t="s">
        <v>0</v>
      </c>
      <c r="F6" s="28" t="s">
        <v>25</v>
      </c>
      <c r="G6" s="28"/>
      <c r="H6" s="28" t="s">
        <v>15</v>
      </c>
      <c r="I6" s="28"/>
      <c r="J6" s="28" t="s">
        <v>51</v>
      </c>
      <c r="K6" s="28"/>
      <c r="L6" s="28" t="s">
        <v>28</v>
      </c>
      <c r="M6" s="28"/>
      <c r="N6" s="28" t="s">
        <v>19</v>
      </c>
      <c r="O6" s="28"/>
      <c r="P6" s="28" t="s">
        <v>52</v>
      </c>
      <c r="Q6" s="28"/>
      <c r="R6" s="28" t="s">
        <v>53</v>
      </c>
      <c r="S6" s="28"/>
    </row>
    <row r="7" spans="1:23" x14ac:dyDescent="0.3">
      <c r="E7" s="1" t="s">
        <v>10</v>
      </c>
      <c r="F7" s="25">
        <v>2</v>
      </c>
      <c r="G7" s="26"/>
      <c r="H7" s="25">
        <v>2</v>
      </c>
      <c r="I7" s="26"/>
      <c r="J7" s="25">
        <v>3</v>
      </c>
      <c r="K7" s="26"/>
      <c r="L7" s="25">
        <v>5</v>
      </c>
      <c r="M7" s="26"/>
      <c r="N7" s="25">
        <v>3</v>
      </c>
      <c r="O7" s="26"/>
      <c r="P7" s="25">
        <v>5</v>
      </c>
      <c r="Q7" s="26"/>
      <c r="R7" s="25">
        <v>6</v>
      </c>
      <c r="S7" s="26"/>
    </row>
    <row r="8" spans="1:23" x14ac:dyDescent="0.3">
      <c r="E8" s="1" t="s">
        <v>1</v>
      </c>
      <c r="F8" s="31">
        <v>45207</v>
      </c>
      <c r="G8" s="31"/>
      <c r="H8" s="31">
        <v>45249</v>
      </c>
      <c r="I8" s="31"/>
      <c r="J8" s="31">
        <v>45263</v>
      </c>
      <c r="K8" s="31"/>
      <c r="L8" s="31">
        <v>45326</v>
      </c>
      <c r="M8" s="31"/>
      <c r="N8" s="31">
        <v>45367</v>
      </c>
      <c r="O8" s="31"/>
      <c r="P8" s="31">
        <v>45375</v>
      </c>
      <c r="Q8" s="31"/>
      <c r="R8" s="31">
        <v>45458</v>
      </c>
      <c r="S8" s="31"/>
      <c r="V8" s="15"/>
    </row>
    <row r="9" spans="1:23" x14ac:dyDescent="0.3">
      <c r="E9" s="1" t="s">
        <v>2</v>
      </c>
      <c r="F9" s="25">
        <v>18</v>
      </c>
      <c r="G9" s="26"/>
      <c r="H9" s="25">
        <v>23</v>
      </c>
      <c r="I9" s="26"/>
      <c r="J9" s="25">
        <v>23</v>
      </c>
      <c r="K9" s="26"/>
      <c r="L9" s="25">
        <v>120</v>
      </c>
      <c r="M9" s="26"/>
      <c r="N9" s="25">
        <v>24</v>
      </c>
      <c r="O9" s="26"/>
      <c r="P9" s="25">
        <v>113</v>
      </c>
      <c r="Q9" s="26"/>
      <c r="R9" s="25">
        <v>106</v>
      </c>
      <c r="S9" s="26"/>
    </row>
    <row r="10" spans="1:23" x14ac:dyDescent="0.3">
      <c r="A10" s="1" t="s">
        <v>9</v>
      </c>
      <c r="B10" s="1" t="s">
        <v>3</v>
      </c>
      <c r="C10" s="1" t="s">
        <v>4</v>
      </c>
      <c r="D10" s="12" t="s">
        <v>23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8</v>
      </c>
      <c r="U10" s="1" t="s">
        <v>9</v>
      </c>
      <c r="V10" s="1" t="s">
        <v>39</v>
      </c>
      <c r="W10" s="1" t="s">
        <v>41</v>
      </c>
    </row>
    <row r="11" spans="1:23" x14ac:dyDescent="0.3">
      <c r="A11" s="5">
        <f t="shared" ref="A11:A42" si="0">U11</f>
        <v>1</v>
      </c>
      <c r="B11" s="6" t="s">
        <v>176</v>
      </c>
      <c r="C11" s="6" t="s">
        <v>177</v>
      </c>
      <c r="D11" s="13"/>
      <c r="E11" s="6" t="s">
        <v>108</v>
      </c>
      <c r="F11" s="6">
        <v>2</v>
      </c>
      <c r="G11" s="7">
        <f t="shared" ref="G11:G41" si="1">IF(F11=0,,($F$9-F11)*$F$7*100/$F$9)</f>
        <v>177.77777777777777</v>
      </c>
      <c r="H11" s="6">
        <v>1</v>
      </c>
      <c r="I11" s="7">
        <f t="shared" ref="I11:I20" si="2">IF(H11=0,,($H$9-H11)*$H$7*100/$H$9)</f>
        <v>191.30434782608697</v>
      </c>
      <c r="J11" s="6">
        <v>1</v>
      </c>
      <c r="K11" s="7">
        <f t="shared" ref="K11:K40" si="3">IF(J11=0,,($J$9-J11)*$J$7*100/$J$9)</f>
        <v>286.95652173913044</v>
      </c>
      <c r="L11" s="6">
        <v>5</v>
      </c>
      <c r="M11" s="20">
        <f t="shared" ref="M11:M42" si="4">IF(L11=0,,($L$9-L11)*$L$7*100/$L$9)</f>
        <v>479.16666666666669</v>
      </c>
      <c r="N11" s="6">
        <v>1</v>
      </c>
      <c r="O11" s="20">
        <f t="shared" ref="O11:O31" si="5">IF(N11=0,,($N$9-N11)*$N$7*100/$N$9)</f>
        <v>287.5</v>
      </c>
      <c r="P11" s="18">
        <v>18</v>
      </c>
      <c r="Q11" s="20">
        <f t="shared" ref="Q11:Q42" si="6">IF(P11=0,,($P$9-P11)*$P$7*100/$P$9)</f>
        <v>420.35398230088498</v>
      </c>
      <c r="R11" s="24">
        <v>5</v>
      </c>
      <c r="S11" s="20">
        <f t="shared" ref="S11:S42" si="7">IF(R11=0,,($R$9-R11)*$R$7*100/$R$9)</f>
        <v>571.69811320754718</v>
      </c>
      <c r="T11" s="8">
        <f>Q11+S11+M11+O11</f>
        <v>1758.7187621750988</v>
      </c>
      <c r="U11" s="6">
        <f t="shared" ref="U11:U42" si="8">ROW(B11)-10</f>
        <v>1</v>
      </c>
      <c r="V11" s="6">
        <f t="shared" ref="V11:V42" si="9">COUNTA(F11,H11,J11,L11,N11,R11,P11)</f>
        <v>7</v>
      </c>
      <c r="W11" s="17">
        <f t="shared" ref="W11:W42" si="10">V11/$G$3</f>
        <v>1</v>
      </c>
    </row>
    <row r="12" spans="1:23" x14ac:dyDescent="0.3">
      <c r="A12" s="5">
        <f t="shared" si="0"/>
        <v>2</v>
      </c>
      <c r="B12" s="6" t="s">
        <v>172</v>
      </c>
      <c r="C12" s="6" t="s">
        <v>173</v>
      </c>
      <c r="D12" s="13"/>
      <c r="E12" s="6" t="s">
        <v>108</v>
      </c>
      <c r="F12" s="6">
        <v>4</v>
      </c>
      <c r="G12" s="7">
        <f t="shared" si="1"/>
        <v>155.55555555555554</v>
      </c>
      <c r="H12" s="6">
        <v>3</v>
      </c>
      <c r="I12" s="7">
        <f t="shared" si="2"/>
        <v>173.91304347826087</v>
      </c>
      <c r="J12" s="6">
        <v>6</v>
      </c>
      <c r="K12" s="7">
        <f t="shared" si="3"/>
        <v>221.7391304347826</v>
      </c>
      <c r="L12" s="6">
        <v>27</v>
      </c>
      <c r="M12" s="20">
        <f t="shared" si="4"/>
        <v>387.5</v>
      </c>
      <c r="N12" s="6">
        <v>6</v>
      </c>
      <c r="O12" s="20">
        <f t="shared" si="5"/>
        <v>225</v>
      </c>
      <c r="P12" s="18">
        <v>8</v>
      </c>
      <c r="Q12" s="20">
        <f t="shared" si="6"/>
        <v>464.60176991150445</v>
      </c>
      <c r="R12" s="24">
        <v>32</v>
      </c>
      <c r="S12" s="20">
        <f t="shared" si="7"/>
        <v>418.8679245283019</v>
      </c>
      <c r="T12" s="8">
        <f>Q12+S12+M12+O12</f>
        <v>1495.9696944398063</v>
      </c>
      <c r="U12" s="6">
        <f t="shared" si="8"/>
        <v>2</v>
      </c>
      <c r="V12" s="6">
        <f t="shared" si="9"/>
        <v>7</v>
      </c>
      <c r="W12" s="17">
        <f t="shared" si="10"/>
        <v>1</v>
      </c>
    </row>
    <row r="13" spans="1:23" x14ac:dyDescent="0.3">
      <c r="A13" s="5">
        <f t="shared" si="0"/>
        <v>3</v>
      </c>
      <c r="B13" s="6" t="s">
        <v>399</v>
      </c>
      <c r="C13" s="6" t="s">
        <v>400</v>
      </c>
      <c r="D13" s="6"/>
      <c r="E13" s="6" t="s">
        <v>100</v>
      </c>
      <c r="F13" s="6"/>
      <c r="G13" s="7">
        <f t="shared" si="1"/>
        <v>0</v>
      </c>
      <c r="H13" s="6">
        <v>4</v>
      </c>
      <c r="I13" s="7">
        <f t="shared" si="2"/>
        <v>165.21739130434781</v>
      </c>
      <c r="J13" s="6"/>
      <c r="K13" s="7">
        <f t="shared" si="3"/>
        <v>0</v>
      </c>
      <c r="L13" s="6">
        <v>38</v>
      </c>
      <c r="M13" s="20">
        <f t="shared" si="4"/>
        <v>341.66666666666669</v>
      </c>
      <c r="N13" s="6">
        <v>7</v>
      </c>
      <c r="O13" s="20">
        <f t="shared" si="5"/>
        <v>212.5</v>
      </c>
      <c r="P13" s="6">
        <v>7</v>
      </c>
      <c r="Q13" s="20">
        <f t="shared" si="6"/>
        <v>469.02654867256638</v>
      </c>
      <c r="R13" s="6">
        <v>35</v>
      </c>
      <c r="S13" s="20">
        <f t="shared" si="7"/>
        <v>401.88679245283021</v>
      </c>
      <c r="T13" s="8">
        <f>Q13+O13+M13+S13</f>
        <v>1425.0800077920633</v>
      </c>
      <c r="U13" s="6">
        <f t="shared" si="8"/>
        <v>3</v>
      </c>
      <c r="V13" s="6">
        <f t="shared" si="9"/>
        <v>5</v>
      </c>
      <c r="W13" s="17">
        <f t="shared" si="10"/>
        <v>0.7142857142857143</v>
      </c>
    </row>
    <row r="14" spans="1:23" x14ac:dyDescent="0.3">
      <c r="A14" s="5">
        <f t="shared" si="0"/>
        <v>4</v>
      </c>
      <c r="B14" s="6" t="s">
        <v>174</v>
      </c>
      <c r="C14" s="6" t="s">
        <v>175</v>
      </c>
      <c r="D14" s="13"/>
      <c r="E14" s="6" t="s">
        <v>108</v>
      </c>
      <c r="F14" s="6">
        <v>3</v>
      </c>
      <c r="G14" s="7">
        <f t="shared" si="1"/>
        <v>166.66666666666666</v>
      </c>
      <c r="H14" s="6">
        <v>14</v>
      </c>
      <c r="I14" s="7">
        <f t="shared" si="2"/>
        <v>78.260869565217391</v>
      </c>
      <c r="J14" s="6">
        <v>7</v>
      </c>
      <c r="K14" s="7">
        <f t="shared" si="3"/>
        <v>208.69565217391303</v>
      </c>
      <c r="L14" s="6">
        <v>16</v>
      </c>
      <c r="M14" s="20">
        <f t="shared" si="4"/>
        <v>433.33333333333331</v>
      </c>
      <c r="N14" s="6">
        <v>5</v>
      </c>
      <c r="O14" s="20">
        <f t="shared" si="5"/>
        <v>237.5</v>
      </c>
      <c r="P14" s="18">
        <v>39</v>
      </c>
      <c r="Q14" s="20">
        <f t="shared" si="6"/>
        <v>327.43362831858406</v>
      </c>
      <c r="R14" s="24">
        <v>40</v>
      </c>
      <c r="S14" s="20">
        <f t="shared" si="7"/>
        <v>373.58490566037733</v>
      </c>
      <c r="T14" s="8">
        <f>O14+M14+S14+Q14</f>
        <v>1371.8518673122944</v>
      </c>
      <c r="U14" s="6">
        <f t="shared" si="8"/>
        <v>4</v>
      </c>
      <c r="V14" s="6">
        <f t="shared" si="9"/>
        <v>7</v>
      </c>
      <c r="W14" s="17">
        <f t="shared" si="10"/>
        <v>1</v>
      </c>
    </row>
    <row r="15" spans="1:23" x14ac:dyDescent="0.3">
      <c r="A15" s="5">
        <f t="shared" si="0"/>
        <v>5</v>
      </c>
      <c r="B15" s="6" t="s">
        <v>178</v>
      </c>
      <c r="C15" s="6" t="s">
        <v>179</v>
      </c>
      <c r="D15" s="13"/>
      <c r="E15" s="6" t="s">
        <v>100</v>
      </c>
      <c r="F15" s="6">
        <v>1</v>
      </c>
      <c r="G15" s="7">
        <f t="shared" si="1"/>
        <v>188.88888888888889</v>
      </c>
      <c r="H15" s="6">
        <v>2</v>
      </c>
      <c r="I15" s="7">
        <f t="shared" si="2"/>
        <v>182.60869565217391</v>
      </c>
      <c r="J15" s="6">
        <v>2</v>
      </c>
      <c r="K15" s="20">
        <f t="shared" si="3"/>
        <v>273.91304347826087</v>
      </c>
      <c r="L15" s="6">
        <v>39</v>
      </c>
      <c r="M15" s="20">
        <f t="shared" si="4"/>
        <v>337.5</v>
      </c>
      <c r="N15" s="6">
        <v>2</v>
      </c>
      <c r="O15" s="20">
        <f t="shared" si="5"/>
        <v>275</v>
      </c>
      <c r="P15" s="18">
        <v>10</v>
      </c>
      <c r="Q15" s="20">
        <f t="shared" si="6"/>
        <v>455.75221238938053</v>
      </c>
      <c r="R15" s="24">
        <v>61</v>
      </c>
      <c r="S15" s="7">
        <f t="shared" si="7"/>
        <v>254.71698113207546</v>
      </c>
      <c r="T15" s="8">
        <f>Q15+K15+M15+O15</f>
        <v>1342.1652558676415</v>
      </c>
      <c r="U15" s="6">
        <f t="shared" si="8"/>
        <v>5</v>
      </c>
      <c r="V15" s="6">
        <f t="shared" si="9"/>
        <v>7</v>
      </c>
      <c r="W15" s="17">
        <f t="shared" si="10"/>
        <v>1</v>
      </c>
    </row>
    <row r="16" spans="1:23" x14ac:dyDescent="0.3">
      <c r="A16" s="5">
        <f t="shared" si="0"/>
        <v>6</v>
      </c>
      <c r="B16" s="6" t="s">
        <v>164</v>
      </c>
      <c r="C16" s="6" t="s">
        <v>165</v>
      </c>
      <c r="D16" s="13"/>
      <c r="E16" s="6" t="s">
        <v>108</v>
      </c>
      <c r="F16" s="6">
        <v>8</v>
      </c>
      <c r="G16" s="7">
        <f t="shared" si="1"/>
        <v>111.11111111111111</v>
      </c>
      <c r="H16" s="6"/>
      <c r="I16" s="7">
        <f t="shared" si="2"/>
        <v>0</v>
      </c>
      <c r="J16" s="6">
        <v>3</v>
      </c>
      <c r="K16" s="20">
        <f t="shared" si="3"/>
        <v>260.86956521739131</v>
      </c>
      <c r="L16" s="6">
        <v>24</v>
      </c>
      <c r="M16" s="20">
        <f t="shared" si="4"/>
        <v>400</v>
      </c>
      <c r="N16" s="6">
        <v>8</v>
      </c>
      <c r="O16" s="20">
        <f t="shared" si="5"/>
        <v>200</v>
      </c>
      <c r="P16" s="6">
        <v>40</v>
      </c>
      <c r="Q16" s="20">
        <f t="shared" si="6"/>
        <v>323.00884955752213</v>
      </c>
      <c r="R16" s="6"/>
      <c r="S16" s="7">
        <f t="shared" si="7"/>
        <v>0</v>
      </c>
      <c r="T16" s="8">
        <f>Q16+O16+M16+K16</f>
        <v>1183.8784147749134</v>
      </c>
      <c r="U16" s="6">
        <f t="shared" si="8"/>
        <v>6</v>
      </c>
      <c r="V16" s="6">
        <f t="shared" si="9"/>
        <v>5</v>
      </c>
      <c r="W16" s="17">
        <f t="shared" si="10"/>
        <v>0.7142857142857143</v>
      </c>
    </row>
    <row r="17" spans="1:23" x14ac:dyDescent="0.3">
      <c r="A17" s="5">
        <f t="shared" si="0"/>
        <v>7</v>
      </c>
      <c r="B17" s="6" t="s">
        <v>170</v>
      </c>
      <c r="C17" s="6" t="s">
        <v>171</v>
      </c>
      <c r="D17" s="13"/>
      <c r="E17" s="6" t="s">
        <v>91</v>
      </c>
      <c r="F17" s="6">
        <v>5</v>
      </c>
      <c r="G17" s="7">
        <f t="shared" si="1"/>
        <v>144.44444444444446</v>
      </c>
      <c r="H17" s="6">
        <v>6</v>
      </c>
      <c r="I17" s="7">
        <f t="shared" si="2"/>
        <v>147.82608695652175</v>
      </c>
      <c r="J17" s="6">
        <v>12</v>
      </c>
      <c r="K17" s="7">
        <f t="shared" si="3"/>
        <v>143.47826086956522</v>
      </c>
      <c r="L17" s="6">
        <v>54</v>
      </c>
      <c r="M17" s="20">
        <f t="shared" si="4"/>
        <v>275</v>
      </c>
      <c r="N17" s="6">
        <v>3</v>
      </c>
      <c r="O17" s="20">
        <f t="shared" si="5"/>
        <v>262.5</v>
      </c>
      <c r="P17" s="18">
        <v>56</v>
      </c>
      <c r="Q17" s="20">
        <f t="shared" si="6"/>
        <v>252.21238938053096</v>
      </c>
      <c r="R17" s="24">
        <v>48</v>
      </c>
      <c r="S17" s="20">
        <f t="shared" si="7"/>
        <v>328.30188679245282</v>
      </c>
      <c r="T17" s="8">
        <f>O17+M17+S17+Q17</f>
        <v>1118.0142761729837</v>
      </c>
      <c r="U17" s="6">
        <f t="shared" si="8"/>
        <v>7</v>
      </c>
      <c r="V17" s="6">
        <f t="shared" si="9"/>
        <v>7</v>
      </c>
      <c r="W17" s="17">
        <f t="shared" si="10"/>
        <v>1</v>
      </c>
    </row>
    <row r="18" spans="1:23" x14ac:dyDescent="0.3">
      <c r="A18" s="5">
        <f t="shared" si="0"/>
        <v>8</v>
      </c>
      <c r="B18" s="6" t="s">
        <v>166</v>
      </c>
      <c r="C18" s="6" t="s">
        <v>167</v>
      </c>
      <c r="D18" s="13"/>
      <c r="E18" s="6" t="s">
        <v>117</v>
      </c>
      <c r="F18" s="6">
        <v>7</v>
      </c>
      <c r="G18" s="7">
        <f t="shared" si="1"/>
        <v>122.22222222222223</v>
      </c>
      <c r="H18" s="6">
        <v>8</v>
      </c>
      <c r="I18" s="7">
        <f t="shared" si="2"/>
        <v>130.43478260869566</v>
      </c>
      <c r="J18" s="6">
        <v>3</v>
      </c>
      <c r="K18" s="20">
        <f t="shared" si="3"/>
        <v>260.86956521739131</v>
      </c>
      <c r="L18" s="6">
        <v>30</v>
      </c>
      <c r="M18" s="20">
        <f t="shared" si="4"/>
        <v>375</v>
      </c>
      <c r="N18" s="6">
        <v>12</v>
      </c>
      <c r="O18" s="7">
        <f t="shared" si="5"/>
        <v>150</v>
      </c>
      <c r="P18" s="18">
        <v>70</v>
      </c>
      <c r="Q18" s="20">
        <f t="shared" si="6"/>
        <v>190.26548672566372</v>
      </c>
      <c r="R18" s="24">
        <v>60</v>
      </c>
      <c r="S18" s="20">
        <f t="shared" si="7"/>
        <v>260.37735849056605</v>
      </c>
      <c r="T18" s="8">
        <f>Q18+K18+M18+S18</f>
        <v>1086.512410433621</v>
      </c>
      <c r="U18" s="6">
        <f t="shared" si="8"/>
        <v>8</v>
      </c>
      <c r="V18" s="6">
        <f t="shared" si="9"/>
        <v>7</v>
      </c>
      <c r="W18" s="17">
        <f t="shared" si="10"/>
        <v>1</v>
      </c>
    </row>
    <row r="19" spans="1:23" x14ac:dyDescent="0.3">
      <c r="A19" s="5">
        <f t="shared" si="0"/>
        <v>9</v>
      </c>
      <c r="B19" s="6" t="s">
        <v>271</v>
      </c>
      <c r="C19" s="6" t="s">
        <v>169</v>
      </c>
      <c r="D19" s="6"/>
      <c r="E19" s="6" t="s">
        <v>142</v>
      </c>
      <c r="F19" s="6"/>
      <c r="G19" s="7">
        <f t="shared" si="1"/>
        <v>0</v>
      </c>
      <c r="H19" s="6"/>
      <c r="I19" s="7">
        <f t="shared" si="2"/>
        <v>0</v>
      </c>
      <c r="J19" s="6">
        <v>8</v>
      </c>
      <c r="K19" s="7">
        <f t="shared" si="3"/>
        <v>195.65217391304347</v>
      </c>
      <c r="L19" s="6">
        <v>29</v>
      </c>
      <c r="M19" s="20">
        <f t="shared" si="4"/>
        <v>379.16666666666669</v>
      </c>
      <c r="N19" s="6">
        <v>3</v>
      </c>
      <c r="O19" s="20">
        <f t="shared" si="5"/>
        <v>262.5</v>
      </c>
      <c r="P19" s="6">
        <v>67</v>
      </c>
      <c r="Q19" s="20">
        <f t="shared" si="6"/>
        <v>203.53982300884957</v>
      </c>
      <c r="R19" s="6">
        <v>65</v>
      </c>
      <c r="S19" s="20">
        <f t="shared" si="7"/>
        <v>232.0754716981132</v>
      </c>
      <c r="T19" s="8">
        <f>S19+Q19+O19+M19</f>
        <v>1077.2819613736294</v>
      </c>
      <c r="U19" s="6">
        <f t="shared" si="8"/>
        <v>9</v>
      </c>
      <c r="V19" s="6">
        <f t="shared" si="9"/>
        <v>5</v>
      </c>
      <c r="W19" s="17">
        <f t="shared" si="10"/>
        <v>0.7142857142857143</v>
      </c>
    </row>
    <row r="20" spans="1:23" x14ac:dyDescent="0.3">
      <c r="A20" s="5">
        <f t="shared" si="0"/>
        <v>10</v>
      </c>
      <c r="B20" s="6" t="s">
        <v>162</v>
      </c>
      <c r="C20" s="6" t="s">
        <v>163</v>
      </c>
      <c r="D20" s="13"/>
      <c r="E20" s="6" t="s">
        <v>100</v>
      </c>
      <c r="F20" s="6">
        <v>9</v>
      </c>
      <c r="G20" s="20">
        <f t="shared" si="1"/>
        <v>100</v>
      </c>
      <c r="H20" s="6"/>
      <c r="I20" s="7">
        <f t="shared" si="2"/>
        <v>0</v>
      </c>
      <c r="J20" s="6">
        <v>5</v>
      </c>
      <c r="K20" s="20">
        <f t="shared" si="3"/>
        <v>234.78260869565219</v>
      </c>
      <c r="L20" s="6">
        <v>35</v>
      </c>
      <c r="M20" s="20">
        <f t="shared" si="4"/>
        <v>354.16666666666669</v>
      </c>
      <c r="N20" s="6"/>
      <c r="O20" s="7">
        <f t="shared" si="5"/>
        <v>0</v>
      </c>
      <c r="P20" s="6">
        <v>61</v>
      </c>
      <c r="Q20" s="20">
        <f t="shared" si="6"/>
        <v>230.08849557522123</v>
      </c>
      <c r="R20" s="6"/>
      <c r="S20" s="7">
        <f t="shared" si="7"/>
        <v>0</v>
      </c>
      <c r="T20" s="8">
        <f>Q20+O20+S20+M20+G20+I20+K20</f>
        <v>919.03777093754002</v>
      </c>
      <c r="U20" s="6">
        <f t="shared" si="8"/>
        <v>10</v>
      </c>
      <c r="V20" s="6">
        <f t="shared" si="9"/>
        <v>4</v>
      </c>
      <c r="W20" s="17">
        <f t="shared" si="10"/>
        <v>0.5714285714285714</v>
      </c>
    </row>
    <row r="21" spans="1:23" x14ac:dyDescent="0.3">
      <c r="A21" s="5">
        <f t="shared" si="0"/>
        <v>11</v>
      </c>
      <c r="B21" s="6" t="s">
        <v>168</v>
      </c>
      <c r="C21" s="6" t="s">
        <v>169</v>
      </c>
      <c r="D21" s="13"/>
      <c r="E21" s="6" t="s">
        <v>100</v>
      </c>
      <c r="F21" s="6">
        <v>6</v>
      </c>
      <c r="G21" s="7">
        <f t="shared" si="1"/>
        <v>133.33333333333334</v>
      </c>
      <c r="H21" s="6">
        <v>17</v>
      </c>
      <c r="I21" s="7">
        <f>18/2</f>
        <v>9</v>
      </c>
      <c r="J21" s="6">
        <v>9</v>
      </c>
      <c r="K21" s="20">
        <f t="shared" si="3"/>
        <v>182.60869565217391</v>
      </c>
      <c r="L21" s="6">
        <v>49</v>
      </c>
      <c r="M21" s="20">
        <f t="shared" si="4"/>
        <v>295.83333333333331</v>
      </c>
      <c r="N21" s="6">
        <v>9</v>
      </c>
      <c r="O21" s="20">
        <f t="shared" si="5"/>
        <v>187.5</v>
      </c>
      <c r="P21" s="18">
        <v>64</v>
      </c>
      <c r="Q21" s="20">
        <f t="shared" si="6"/>
        <v>216.81415929203538</v>
      </c>
      <c r="R21" s="24">
        <v>86</v>
      </c>
      <c r="S21" s="7">
        <f t="shared" si="7"/>
        <v>113.20754716981132</v>
      </c>
      <c r="T21" s="8">
        <f>O21+M21+K21+Q21</f>
        <v>882.75618827754261</v>
      </c>
      <c r="U21" s="6">
        <f t="shared" si="8"/>
        <v>11</v>
      </c>
      <c r="V21" s="6">
        <f t="shared" si="9"/>
        <v>7</v>
      </c>
      <c r="W21" s="17">
        <f t="shared" si="10"/>
        <v>1</v>
      </c>
    </row>
    <row r="22" spans="1:23" x14ac:dyDescent="0.3">
      <c r="A22" s="5">
        <f t="shared" si="0"/>
        <v>12</v>
      </c>
      <c r="B22" s="6" t="s">
        <v>152</v>
      </c>
      <c r="C22" s="6" t="s">
        <v>153</v>
      </c>
      <c r="D22" s="13"/>
      <c r="E22" s="6" t="s">
        <v>108</v>
      </c>
      <c r="F22" s="6">
        <v>14</v>
      </c>
      <c r="G22" s="20">
        <f t="shared" si="1"/>
        <v>44.444444444444443</v>
      </c>
      <c r="H22" s="6">
        <v>21</v>
      </c>
      <c r="I22" s="7">
        <f t="shared" ref="I22:I42" si="11">IF(H22=0,,($H$9-H22)*$H$7*100/$H$9)</f>
        <v>17.391304347826086</v>
      </c>
      <c r="J22" s="6">
        <v>14</v>
      </c>
      <c r="K22" s="20">
        <f t="shared" si="3"/>
        <v>117.39130434782609</v>
      </c>
      <c r="L22" s="6">
        <v>58</v>
      </c>
      <c r="M22" s="20">
        <f t="shared" si="4"/>
        <v>258.33333333333331</v>
      </c>
      <c r="N22" s="6">
        <v>15</v>
      </c>
      <c r="O22" s="7">
        <f t="shared" si="5"/>
        <v>112.5</v>
      </c>
      <c r="P22" s="6">
        <v>48</v>
      </c>
      <c r="Q22" s="20">
        <f t="shared" si="6"/>
        <v>287.61061946902657</v>
      </c>
      <c r="R22" s="6">
        <v>69</v>
      </c>
      <c r="S22" s="20">
        <f t="shared" si="7"/>
        <v>209.43396226415095</v>
      </c>
      <c r="T22" s="8">
        <f>S22+M22+K22+Q22</f>
        <v>872.76921941433693</v>
      </c>
      <c r="U22" s="6">
        <f t="shared" si="8"/>
        <v>12</v>
      </c>
      <c r="V22" s="6">
        <f t="shared" si="9"/>
        <v>7</v>
      </c>
      <c r="W22" s="17">
        <f t="shared" si="10"/>
        <v>1</v>
      </c>
    </row>
    <row r="23" spans="1:23" x14ac:dyDescent="0.3">
      <c r="A23" s="5">
        <f t="shared" si="0"/>
        <v>13</v>
      </c>
      <c r="B23" s="6" t="s">
        <v>154</v>
      </c>
      <c r="C23" s="6" t="s">
        <v>155</v>
      </c>
      <c r="D23" s="13"/>
      <c r="E23" s="6" t="s">
        <v>117</v>
      </c>
      <c r="F23" s="6">
        <v>13</v>
      </c>
      <c r="G23" s="7">
        <f t="shared" si="1"/>
        <v>55.555555555555557</v>
      </c>
      <c r="H23" s="6">
        <v>19</v>
      </c>
      <c r="I23" s="7">
        <f t="shared" si="11"/>
        <v>34.782608695652172</v>
      </c>
      <c r="J23" s="6"/>
      <c r="K23" s="7">
        <f t="shared" si="3"/>
        <v>0</v>
      </c>
      <c r="L23" s="6">
        <v>69</v>
      </c>
      <c r="M23" s="20">
        <f t="shared" si="4"/>
        <v>212.5</v>
      </c>
      <c r="N23" s="6">
        <v>11</v>
      </c>
      <c r="O23" s="20">
        <f t="shared" si="5"/>
        <v>162.5</v>
      </c>
      <c r="P23" s="6">
        <v>48</v>
      </c>
      <c r="Q23" s="20">
        <f t="shared" si="6"/>
        <v>287.61061946902657</v>
      </c>
      <c r="R23" s="6">
        <v>83</v>
      </c>
      <c r="S23" s="7">
        <f t="shared" si="7"/>
        <v>130.18867924528303</v>
      </c>
      <c r="T23" s="8">
        <f>S23+Q23+O23+M23</f>
        <v>792.79929871430954</v>
      </c>
      <c r="U23" s="6">
        <f t="shared" si="8"/>
        <v>13</v>
      </c>
      <c r="V23" s="6">
        <f t="shared" si="9"/>
        <v>6</v>
      </c>
      <c r="W23" s="17">
        <f t="shared" si="10"/>
        <v>0.8571428571428571</v>
      </c>
    </row>
    <row r="24" spans="1:23" x14ac:dyDescent="0.3">
      <c r="A24" s="5">
        <f t="shared" si="0"/>
        <v>14</v>
      </c>
      <c r="B24" s="6" t="s">
        <v>401</v>
      </c>
      <c r="C24" s="6" t="s">
        <v>402</v>
      </c>
      <c r="D24" s="6"/>
      <c r="E24" s="6" t="s">
        <v>116</v>
      </c>
      <c r="F24" s="6"/>
      <c r="G24" s="7">
        <f t="shared" si="1"/>
        <v>0</v>
      </c>
      <c r="H24" s="6">
        <v>22</v>
      </c>
      <c r="I24" s="7">
        <f t="shared" si="11"/>
        <v>8.695652173913043</v>
      </c>
      <c r="J24" s="6">
        <v>18</v>
      </c>
      <c r="K24" s="20">
        <f t="shared" si="3"/>
        <v>65.217391304347828</v>
      </c>
      <c r="L24" s="6">
        <v>57</v>
      </c>
      <c r="M24" s="20">
        <f t="shared" si="4"/>
        <v>262.5</v>
      </c>
      <c r="N24" s="6">
        <v>19</v>
      </c>
      <c r="O24" s="7">
        <f t="shared" si="5"/>
        <v>62.5</v>
      </c>
      <c r="P24" s="6">
        <v>90</v>
      </c>
      <c r="Q24" s="20">
        <f t="shared" si="6"/>
        <v>101.76991150442478</v>
      </c>
      <c r="R24" s="6">
        <v>57</v>
      </c>
      <c r="S24" s="20">
        <f t="shared" si="7"/>
        <v>277.35849056603774</v>
      </c>
      <c r="T24" s="8">
        <f>S24+Q24+M24+K24</f>
        <v>706.84579337481034</v>
      </c>
      <c r="U24" s="6">
        <f t="shared" si="8"/>
        <v>14</v>
      </c>
      <c r="V24" s="6">
        <f t="shared" si="9"/>
        <v>6</v>
      </c>
      <c r="W24" s="17">
        <f t="shared" si="10"/>
        <v>0.8571428571428571</v>
      </c>
    </row>
    <row r="25" spans="1:23" x14ac:dyDescent="0.3">
      <c r="A25" s="5">
        <f t="shared" si="0"/>
        <v>15</v>
      </c>
      <c r="B25" s="6" t="s">
        <v>158</v>
      </c>
      <c r="C25" s="6" t="s">
        <v>159</v>
      </c>
      <c r="D25" s="13"/>
      <c r="E25" s="6" t="s">
        <v>108</v>
      </c>
      <c r="F25" s="6">
        <v>11</v>
      </c>
      <c r="G25" s="7">
        <f t="shared" si="1"/>
        <v>77.777777777777771</v>
      </c>
      <c r="H25" s="6"/>
      <c r="I25" s="7">
        <f t="shared" si="11"/>
        <v>0</v>
      </c>
      <c r="J25" s="6">
        <v>11</v>
      </c>
      <c r="K25" s="20">
        <f t="shared" si="3"/>
        <v>156.52173913043478</v>
      </c>
      <c r="L25" s="6">
        <v>82</v>
      </c>
      <c r="M25" s="20">
        <f t="shared" si="4"/>
        <v>158.33333333333334</v>
      </c>
      <c r="N25" s="6">
        <v>14</v>
      </c>
      <c r="O25" s="20">
        <f t="shared" si="5"/>
        <v>125</v>
      </c>
      <c r="P25" s="6">
        <v>78</v>
      </c>
      <c r="Q25" s="20">
        <f t="shared" si="6"/>
        <v>154.86725663716814</v>
      </c>
      <c r="R25" s="6"/>
      <c r="S25" s="7">
        <f t="shared" si="7"/>
        <v>0</v>
      </c>
      <c r="T25" s="8">
        <f>Q25+O25+M25+K25</f>
        <v>594.72232910093624</v>
      </c>
      <c r="U25" s="6">
        <f t="shared" si="8"/>
        <v>15</v>
      </c>
      <c r="V25" s="6">
        <f t="shared" si="9"/>
        <v>5</v>
      </c>
      <c r="W25" s="17">
        <f t="shared" si="10"/>
        <v>0.7142857142857143</v>
      </c>
    </row>
    <row r="26" spans="1:23" x14ac:dyDescent="0.3">
      <c r="A26" s="5">
        <f t="shared" si="0"/>
        <v>16</v>
      </c>
      <c r="B26" s="6" t="s">
        <v>156</v>
      </c>
      <c r="C26" s="6" t="s">
        <v>157</v>
      </c>
      <c r="D26" s="13"/>
      <c r="E26" s="6" t="s">
        <v>108</v>
      </c>
      <c r="F26" s="6">
        <v>12</v>
      </c>
      <c r="G26" s="7">
        <f t="shared" si="1"/>
        <v>66.666666666666671</v>
      </c>
      <c r="H26" s="6">
        <v>13</v>
      </c>
      <c r="I26" s="20">
        <f t="shared" si="11"/>
        <v>86.956521739130437</v>
      </c>
      <c r="J26" s="6">
        <v>16</v>
      </c>
      <c r="K26" s="20">
        <f t="shared" si="3"/>
        <v>91.304347826086953</v>
      </c>
      <c r="L26" s="6">
        <v>97</v>
      </c>
      <c r="M26" s="20">
        <f t="shared" si="4"/>
        <v>95.833333333333329</v>
      </c>
      <c r="N26" s="6">
        <v>10</v>
      </c>
      <c r="O26" s="20">
        <f t="shared" si="5"/>
        <v>175</v>
      </c>
      <c r="P26" s="18">
        <v>100</v>
      </c>
      <c r="Q26" s="7">
        <f t="shared" si="6"/>
        <v>57.522123893805308</v>
      </c>
      <c r="R26" s="24">
        <v>102</v>
      </c>
      <c r="S26" s="7">
        <f t="shared" si="7"/>
        <v>22.641509433962263</v>
      </c>
      <c r="T26" s="8">
        <f>O26+M26+K26+I26</f>
        <v>449.09420289855069</v>
      </c>
      <c r="U26" s="6">
        <f t="shared" si="8"/>
        <v>16</v>
      </c>
      <c r="V26" s="6">
        <f t="shared" si="9"/>
        <v>7</v>
      </c>
      <c r="W26" s="17">
        <f t="shared" si="10"/>
        <v>1</v>
      </c>
    </row>
    <row r="27" spans="1:23" x14ac:dyDescent="0.3">
      <c r="A27" s="5">
        <f t="shared" si="0"/>
        <v>17</v>
      </c>
      <c r="B27" s="6" t="s">
        <v>269</v>
      </c>
      <c r="C27" s="6" t="s">
        <v>444</v>
      </c>
      <c r="D27" s="6"/>
      <c r="E27" s="6" t="s">
        <v>142</v>
      </c>
      <c r="F27" s="6"/>
      <c r="G27" s="7">
        <f t="shared" si="1"/>
        <v>0</v>
      </c>
      <c r="H27" s="6"/>
      <c r="I27" s="7">
        <f t="shared" si="11"/>
        <v>0</v>
      </c>
      <c r="J27" s="6">
        <v>13</v>
      </c>
      <c r="K27" s="7">
        <f t="shared" si="3"/>
        <v>130.43478260869566</v>
      </c>
      <c r="L27" s="6">
        <v>113</v>
      </c>
      <c r="M27" s="7">
        <f t="shared" si="4"/>
        <v>29.166666666666668</v>
      </c>
      <c r="N27" s="6">
        <v>15</v>
      </c>
      <c r="O27" s="7">
        <f t="shared" si="5"/>
        <v>112.5</v>
      </c>
      <c r="P27" s="6">
        <v>96</v>
      </c>
      <c r="Q27" s="7">
        <f t="shared" si="6"/>
        <v>75.221238938053091</v>
      </c>
      <c r="R27" s="6"/>
      <c r="S27" s="7">
        <f t="shared" si="7"/>
        <v>0</v>
      </c>
      <c r="T27" s="8">
        <f>Q27+O27+S27+M27+G27+I27+K27</f>
        <v>347.3226882134154</v>
      </c>
      <c r="U27" s="6">
        <f t="shared" si="8"/>
        <v>17</v>
      </c>
      <c r="V27" s="6">
        <f t="shared" si="9"/>
        <v>4</v>
      </c>
      <c r="W27" s="17">
        <f t="shared" si="10"/>
        <v>0.5714285714285714</v>
      </c>
    </row>
    <row r="28" spans="1:23" x14ac:dyDescent="0.3">
      <c r="A28" s="5">
        <f t="shared" si="0"/>
        <v>18</v>
      </c>
      <c r="B28" s="6" t="s">
        <v>148</v>
      </c>
      <c r="C28" s="6" t="s">
        <v>149</v>
      </c>
      <c r="D28" s="6"/>
      <c r="E28" s="6" t="s">
        <v>108</v>
      </c>
      <c r="F28" s="6">
        <v>16</v>
      </c>
      <c r="G28" s="7">
        <f t="shared" si="1"/>
        <v>22.222222222222221</v>
      </c>
      <c r="H28" s="6"/>
      <c r="I28" s="7">
        <f t="shared" si="11"/>
        <v>0</v>
      </c>
      <c r="J28" s="6">
        <v>10</v>
      </c>
      <c r="K28" s="7">
        <f t="shared" si="3"/>
        <v>169.56521739130434</v>
      </c>
      <c r="L28" s="6">
        <v>104</v>
      </c>
      <c r="M28" s="7">
        <f t="shared" si="4"/>
        <v>66.666666666666671</v>
      </c>
      <c r="N28" s="6">
        <v>18</v>
      </c>
      <c r="O28" s="7">
        <f t="shared" si="5"/>
        <v>75</v>
      </c>
      <c r="P28" s="6"/>
      <c r="Q28" s="7">
        <f t="shared" si="6"/>
        <v>0</v>
      </c>
      <c r="R28" s="6"/>
      <c r="S28" s="7">
        <f t="shared" si="7"/>
        <v>0</v>
      </c>
      <c r="T28" s="8">
        <f>Q28+O28+S28+M28+G28+I28+K28</f>
        <v>333.45410628019329</v>
      </c>
      <c r="U28" s="6">
        <f t="shared" si="8"/>
        <v>18</v>
      </c>
      <c r="V28" s="6">
        <f t="shared" si="9"/>
        <v>4</v>
      </c>
      <c r="W28" s="17">
        <f t="shared" si="10"/>
        <v>0.5714285714285714</v>
      </c>
    </row>
    <row r="29" spans="1:23" x14ac:dyDescent="0.3">
      <c r="A29" s="5">
        <f t="shared" si="0"/>
        <v>19</v>
      </c>
      <c r="B29" s="6" t="s">
        <v>403</v>
      </c>
      <c r="C29" s="6" t="s">
        <v>404</v>
      </c>
      <c r="D29" s="6"/>
      <c r="E29" s="6" t="s">
        <v>142</v>
      </c>
      <c r="F29" s="6"/>
      <c r="G29" s="7">
        <f t="shared" si="1"/>
        <v>0</v>
      </c>
      <c r="H29" s="6">
        <v>23</v>
      </c>
      <c r="I29" s="7">
        <f t="shared" si="11"/>
        <v>0</v>
      </c>
      <c r="J29" s="6">
        <v>20</v>
      </c>
      <c r="K29" s="20">
        <f t="shared" si="3"/>
        <v>39.130434782608695</v>
      </c>
      <c r="L29" s="6">
        <v>101</v>
      </c>
      <c r="M29" s="20">
        <f t="shared" si="4"/>
        <v>79.166666666666671</v>
      </c>
      <c r="N29" s="6">
        <v>17</v>
      </c>
      <c r="O29" s="20">
        <f t="shared" si="5"/>
        <v>87.5</v>
      </c>
      <c r="P29" s="6">
        <v>100</v>
      </c>
      <c r="Q29" s="20">
        <f t="shared" si="6"/>
        <v>57.522123893805308</v>
      </c>
      <c r="R29" s="6"/>
      <c r="S29" s="7">
        <f t="shared" si="7"/>
        <v>0</v>
      </c>
      <c r="T29" s="8">
        <f>Q29+O29+M29+K29</f>
        <v>263.31922534308069</v>
      </c>
      <c r="U29" s="6">
        <f t="shared" si="8"/>
        <v>19</v>
      </c>
      <c r="V29" s="6">
        <f t="shared" si="9"/>
        <v>5</v>
      </c>
      <c r="W29" s="17">
        <f t="shared" si="10"/>
        <v>0.7142857142857143</v>
      </c>
    </row>
    <row r="30" spans="1:23" x14ac:dyDescent="0.3">
      <c r="A30" s="5">
        <f t="shared" si="0"/>
        <v>20</v>
      </c>
      <c r="B30" s="6" t="s">
        <v>276</v>
      </c>
      <c r="C30" s="6" t="s">
        <v>277</v>
      </c>
      <c r="D30" s="6"/>
      <c r="E30" s="6" t="s">
        <v>116</v>
      </c>
      <c r="F30" s="6"/>
      <c r="G30" s="7">
        <f t="shared" si="1"/>
        <v>0</v>
      </c>
      <c r="H30" s="6"/>
      <c r="I30" s="7">
        <f t="shared" si="11"/>
        <v>0</v>
      </c>
      <c r="J30" s="6">
        <v>19</v>
      </c>
      <c r="K30" s="7">
        <f t="shared" si="3"/>
        <v>52.173913043478258</v>
      </c>
      <c r="L30" s="6">
        <v>85</v>
      </c>
      <c r="M30" s="7">
        <f t="shared" si="4"/>
        <v>145.83333333333334</v>
      </c>
      <c r="N30" s="6">
        <v>20</v>
      </c>
      <c r="O30" s="7">
        <f t="shared" si="5"/>
        <v>50</v>
      </c>
      <c r="P30" s="6"/>
      <c r="Q30" s="7">
        <f t="shared" si="6"/>
        <v>0</v>
      </c>
      <c r="R30" s="6"/>
      <c r="S30" s="7">
        <f t="shared" si="7"/>
        <v>0</v>
      </c>
      <c r="T30" s="8">
        <f t="shared" ref="T30:T42" si="12">Q30+O30+S30+M30+G30+I30+K30</f>
        <v>248.00724637681159</v>
      </c>
      <c r="U30" s="6">
        <f t="shared" si="8"/>
        <v>20</v>
      </c>
      <c r="V30" s="6">
        <f t="shared" si="9"/>
        <v>3</v>
      </c>
      <c r="W30" s="17">
        <f t="shared" si="10"/>
        <v>0.42857142857142855</v>
      </c>
    </row>
    <row r="31" spans="1:23" x14ac:dyDescent="0.3">
      <c r="A31" s="5">
        <f t="shared" si="0"/>
        <v>21</v>
      </c>
      <c r="B31" s="6" t="s">
        <v>160</v>
      </c>
      <c r="C31" s="6" t="s">
        <v>161</v>
      </c>
      <c r="D31" s="13"/>
      <c r="E31" s="6" t="s">
        <v>142</v>
      </c>
      <c r="F31" s="6">
        <v>10</v>
      </c>
      <c r="G31" s="7">
        <f t="shared" si="1"/>
        <v>88.888888888888886</v>
      </c>
      <c r="H31" s="6"/>
      <c r="I31" s="7">
        <f t="shared" si="11"/>
        <v>0</v>
      </c>
      <c r="J31" s="6">
        <v>15</v>
      </c>
      <c r="K31" s="7">
        <f t="shared" si="3"/>
        <v>104.34782608695652</v>
      </c>
      <c r="L31" s="6"/>
      <c r="M31" s="7">
        <f t="shared" si="4"/>
        <v>0</v>
      </c>
      <c r="N31" s="6"/>
      <c r="O31" s="7">
        <f t="shared" si="5"/>
        <v>0</v>
      </c>
      <c r="P31" s="6"/>
      <c r="Q31" s="7">
        <f t="shared" si="6"/>
        <v>0</v>
      </c>
      <c r="R31" s="6"/>
      <c r="S31" s="7">
        <f t="shared" si="7"/>
        <v>0</v>
      </c>
      <c r="T31" s="8">
        <f t="shared" si="12"/>
        <v>193.23671497584542</v>
      </c>
      <c r="U31" s="6">
        <f t="shared" si="8"/>
        <v>21</v>
      </c>
      <c r="V31" s="6">
        <f t="shared" si="9"/>
        <v>2</v>
      </c>
      <c r="W31" s="17">
        <f t="shared" si="10"/>
        <v>0.2857142857142857</v>
      </c>
    </row>
    <row r="32" spans="1:23" x14ac:dyDescent="0.3">
      <c r="A32" s="5">
        <f t="shared" si="0"/>
        <v>22</v>
      </c>
      <c r="B32" s="6" t="s">
        <v>274</v>
      </c>
      <c r="C32" s="6" t="s">
        <v>275</v>
      </c>
      <c r="D32" s="6"/>
      <c r="E32" s="6" t="s">
        <v>116</v>
      </c>
      <c r="F32" s="6"/>
      <c r="G32" s="7">
        <f t="shared" si="1"/>
        <v>0</v>
      </c>
      <c r="H32" s="6"/>
      <c r="I32" s="7">
        <f t="shared" si="11"/>
        <v>0</v>
      </c>
      <c r="J32" s="6">
        <v>17</v>
      </c>
      <c r="K32" s="7">
        <f t="shared" si="3"/>
        <v>78.260869565217391</v>
      </c>
      <c r="L32" s="6">
        <v>110</v>
      </c>
      <c r="M32" s="7">
        <f t="shared" si="4"/>
        <v>41.666666666666664</v>
      </c>
      <c r="N32" s="6">
        <v>24</v>
      </c>
      <c r="O32" s="7">
        <f>13/2</f>
        <v>6.5</v>
      </c>
      <c r="P32" s="6">
        <v>109</v>
      </c>
      <c r="Q32" s="7">
        <f t="shared" si="6"/>
        <v>17.699115044247787</v>
      </c>
      <c r="R32" s="6"/>
      <c r="S32" s="7">
        <f t="shared" si="7"/>
        <v>0</v>
      </c>
      <c r="T32" s="8">
        <f t="shared" si="12"/>
        <v>144.12665127613184</v>
      </c>
      <c r="U32" s="6">
        <f t="shared" si="8"/>
        <v>22</v>
      </c>
      <c r="V32" s="6">
        <f t="shared" si="9"/>
        <v>4</v>
      </c>
      <c r="W32" s="17">
        <f t="shared" si="10"/>
        <v>0.5714285714285714</v>
      </c>
    </row>
    <row r="33" spans="1:23" x14ac:dyDescent="0.3">
      <c r="A33" s="5">
        <f t="shared" si="0"/>
        <v>23</v>
      </c>
      <c r="B33" s="6" t="s">
        <v>239</v>
      </c>
      <c r="C33" s="6" t="s">
        <v>278</v>
      </c>
      <c r="D33" s="6"/>
      <c r="E33" s="6" t="s">
        <v>142</v>
      </c>
      <c r="F33" s="6"/>
      <c r="G33" s="7">
        <f t="shared" si="1"/>
        <v>0</v>
      </c>
      <c r="H33" s="6"/>
      <c r="I33" s="7">
        <f t="shared" si="11"/>
        <v>0</v>
      </c>
      <c r="J33" s="6"/>
      <c r="K33" s="7">
        <f t="shared" si="3"/>
        <v>0</v>
      </c>
      <c r="L33" s="6"/>
      <c r="M33" s="7">
        <f t="shared" si="4"/>
        <v>0</v>
      </c>
      <c r="N33" s="6">
        <v>13</v>
      </c>
      <c r="O33" s="7">
        <f t="shared" ref="O33:O42" si="13">IF(N33=0,,($N$9-N33)*$N$7*100/$N$9)</f>
        <v>137.5</v>
      </c>
      <c r="P33" s="6"/>
      <c r="Q33" s="7">
        <f t="shared" si="6"/>
        <v>0</v>
      </c>
      <c r="R33" s="6"/>
      <c r="S33" s="7">
        <f t="shared" si="7"/>
        <v>0</v>
      </c>
      <c r="T33" s="8">
        <f t="shared" si="12"/>
        <v>137.5</v>
      </c>
      <c r="U33" s="6">
        <f t="shared" si="8"/>
        <v>23</v>
      </c>
      <c r="V33" s="6">
        <f t="shared" si="9"/>
        <v>1</v>
      </c>
      <c r="W33" s="17">
        <f t="shared" si="10"/>
        <v>0.14285714285714285</v>
      </c>
    </row>
    <row r="34" spans="1:23" x14ac:dyDescent="0.3">
      <c r="A34" s="5">
        <f t="shared" si="0"/>
        <v>24</v>
      </c>
      <c r="B34" s="6" t="s">
        <v>150</v>
      </c>
      <c r="C34" s="6" t="s">
        <v>151</v>
      </c>
      <c r="D34" s="13"/>
      <c r="E34" s="6" t="s">
        <v>117</v>
      </c>
      <c r="F34" s="6">
        <v>15</v>
      </c>
      <c r="G34" s="7">
        <f t="shared" si="1"/>
        <v>33.333333333333336</v>
      </c>
      <c r="H34" s="6">
        <v>20</v>
      </c>
      <c r="I34" s="7">
        <f t="shared" si="11"/>
        <v>26.086956521739129</v>
      </c>
      <c r="J34" s="6"/>
      <c r="K34" s="7">
        <f t="shared" si="3"/>
        <v>0</v>
      </c>
      <c r="L34" s="6"/>
      <c r="M34" s="7">
        <f t="shared" si="4"/>
        <v>0</v>
      </c>
      <c r="N34" s="6"/>
      <c r="O34" s="7">
        <f t="shared" si="13"/>
        <v>0</v>
      </c>
      <c r="P34" s="6"/>
      <c r="Q34" s="7">
        <f t="shared" si="6"/>
        <v>0</v>
      </c>
      <c r="R34" s="6"/>
      <c r="S34" s="7">
        <f t="shared" si="7"/>
        <v>0</v>
      </c>
      <c r="T34" s="8">
        <f t="shared" si="12"/>
        <v>59.420289855072468</v>
      </c>
      <c r="U34" s="6">
        <f t="shared" si="8"/>
        <v>24</v>
      </c>
      <c r="V34" s="6">
        <f t="shared" si="9"/>
        <v>2</v>
      </c>
      <c r="W34" s="17">
        <f t="shared" si="10"/>
        <v>0.2857142857142857</v>
      </c>
    </row>
    <row r="35" spans="1:23" x14ac:dyDescent="0.3">
      <c r="A35" s="5">
        <f t="shared" si="0"/>
        <v>25</v>
      </c>
      <c r="B35" s="6" t="s">
        <v>510</v>
      </c>
      <c r="C35" s="6" t="s">
        <v>511</v>
      </c>
      <c r="D35" s="6"/>
      <c r="E35" s="6" t="s">
        <v>117</v>
      </c>
      <c r="F35" s="6"/>
      <c r="G35" s="7">
        <f t="shared" si="1"/>
        <v>0</v>
      </c>
      <c r="H35" s="6"/>
      <c r="I35" s="7">
        <f t="shared" si="11"/>
        <v>0</v>
      </c>
      <c r="J35" s="6"/>
      <c r="K35" s="7">
        <f t="shared" si="3"/>
        <v>0</v>
      </c>
      <c r="L35" s="6"/>
      <c r="M35" s="7">
        <f t="shared" si="4"/>
        <v>0</v>
      </c>
      <c r="N35" s="6">
        <v>21</v>
      </c>
      <c r="O35" s="7">
        <f t="shared" si="13"/>
        <v>37.5</v>
      </c>
      <c r="P35" s="6"/>
      <c r="Q35" s="7">
        <f t="shared" si="6"/>
        <v>0</v>
      </c>
      <c r="R35" s="6"/>
      <c r="S35" s="7">
        <f t="shared" si="7"/>
        <v>0</v>
      </c>
      <c r="T35" s="8">
        <f t="shared" si="12"/>
        <v>37.5</v>
      </c>
      <c r="U35" s="6">
        <f t="shared" si="8"/>
        <v>25</v>
      </c>
      <c r="V35" s="6">
        <f t="shared" si="9"/>
        <v>1</v>
      </c>
      <c r="W35" s="17">
        <f t="shared" si="10"/>
        <v>0.14285714285714285</v>
      </c>
    </row>
    <row r="36" spans="1:23" x14ac:dyDescent="0.3">
      <c r="A36" s="5">
        <f t="shared" si="0"/>
        <v>26</v>
      </c>
      <c r="B36" s="6" t="s">
        <v>445</v>
      </c>
      <c r="C36" s="6" t="s">
        <v>446</v>
      </c>
      <c r="D36" s="6"/>
      <c r="E36" s="6" t="s">
        <v>142</v>
      </c>
      <c r="F36" s="6"/>
      <c r="G36" s="7">
        <f t="shared" si="1"/>
        <v>0</v>
      </c>
      <c r="H36" s="6"/>
      <c r="I36" s="7">
        <f t="shared" si="11"/>
        <v>0</v>
      </c>
      <c r="J36" s="6">
        <v>21</v>
      </c>
      <c r="K36" s="7">
        <f t="shared" si="3"/>
        <v>26.086956521739129</v>
      </c>
      <c r="L36" s="6"/>
      <c r="M36" s="7">
        <f t="shared" si="4"/>
        <v>0</v>
      </c>
      <c r="N36" s="6"/>
      <c r="O36" s="7">
        <f t="shared" si="13"/>
        <v>0</v>
      </c>
      <c r="P36" s="6"/>
      <c r="Q36" s="7">
        <f t="shared" si="6"/>
        <v>0</v>
      </c>
      <c r="R36" s="6"/>
      <c r="S36" s="7">
        <f t="shared" si="7"/>
        <v>0</v>
      </c>
      <c r="T36" s="8">
        <f t="shared" si="12"/>
        <v>26.086956521739129</v>
      </c>
      <c r="U36" s="6">
        <f t="shared" si="8"/>
        <v>26</v>
      </c>
      <c r="V36" s="6">
        <f t="shared" si="9"/>
        <v>1</v>
      </c>
      <c r="W36" s="17">
        <f t="shared" si="10"/>
        <v>0.14285714285714285</v>
      </c>
    </row>
    <row r="37" spans="1:23" x14ac:dyDescent="0.3">
      <c r="A37" s="5">
        <f t="shared" si="0"/>
        <v>27</v>
      </c>
      <c r="B37" s="6" t="s">
        <v>512</v>
      </c>
      <c r="C37" s="6" t="s">
        <v>514</v>
      </c>
      <c r="D37" s="6"/>
      <c r="E37" s="6" t="s">
        <v>91</v>
      </c>
      <c r="F37" s="6"/>
      <c r="G37" s="7">
        <f t="shared" si="1"/>
        <v>0</v>
      </c>
      <c r="H37" s="6"/>
      <c r="I37" s="7">
        <f t="shared" si="11"/>
        <v>0</v>
      </c>
      <c r="J37" s="6"/>
      <c r="K37" s="7">
        <f t="shared" si="3"/>
        <v>0</v>
      </c>
      <c r="L37" s="6"/>
      <c r="M37" s="7">
        <f t="shared" si="4"/>
        <v>0</v>
      </c>
      <c r="N37" s="6">
        <v>22</v>
      </c>
      <c r="O37" s="7">
        <f t="shared" si="13"/>
        <v>25</v>
      </c>
      <c r="P37" s="6"/>
      <c r="Q37" s="7">
        <f t="shared" si="6"/>
        <v>0</v>
      </c>
      <c r="R37" s="6"/>
      <c r="S37" s="7">
        <f t="shared" si="7"/>
        <v>0</v>
      </c>
      <c r="T37" s="8">
        <f t="shared" si="12"/>
        <v>25</v>
      </c>
      <c r="U37" s="6">
        <f t="shared" si="8"/>
        <v>27</v>
      </c>
      <c r="V37" s="6">
        <f t="shared" si="9"/>
        <v>1</v>
      </c>
      <c r="W37" s="17">
        <f t="shared" si="10"/>
        <v>0.14285714285714285</v>
      </c>
    </row>
    <row r="38" spans="1:23" x14ac:dyDescent="0.3">
      <c r="A38" s="5">
        <f t="shared" si="0"/>
        <v>28</v>
      </c>
      <c r="B38" s="6" t="s">
        <v>279</v>
      </c>
      <c r="C38" s="6" t="s">
        <v>443</v>
      </c>
      <c r="D38" s="6"/>
      <c r="E38" s="6" t="s">
        <v>117</v>
      </c>
      <c r="F38" s="6"/>
      <c r="G38" s="7">
        <f t="shared" si="1"/>
        <v>0</v>
      </c>
      <c r="H38" s="6"/>
      <c r="I38" s="7">
        <f t="shared" si="11"/>
        <v>0</v>
      </c>
      <c r="J38" s="6">
        <v>22</v>
      </c>
      <c r="K38" s="7">
        <f t="shared" si="3"/>
        <v>13.043478260869565</v>
      </c>
      <c r="L38" s="6"/>
      <c r="M38" s="7">
        <f t="shared" si="4"/>
        <v>0</v>
      </c>
      <c r="N38" s="6"/>
      <c r="O38" s="7">
        <f t="shared" si="13"/>
        <v>0</v>
      </c>
      <c r="P38" s="6"/>
      <c r="Q38" s="7">
        <f t="shared" si="6"/>
        <v>0</v>
      </c>
      <c r="R38" s="6"/>
      <c r="S38" s="7">
        <f t="shared" si="7"/>
        <v>0</v>
      </c>
      <c r="T38" s="8">
        <f t="shared" si="12"/>
        <v>13.043478260869565</v>
      </c>
      <c r="U38" s="6">
        <f t="shared" si="8"/>
        <v>28</v>
      </c>
      <c r="V38" s="6">
        <f t="shared" si="9"/>
        <v>1</v>
      </c>
      <c r="W38" s="17">
        <f t="shared" si="10"/>
        <v>0.14285714285714285</v>
      </c>
    </row>
    <row r="39" spans="1:23" x14ac:dyDescent="0.3">
      <c r="A39" s="5">
        <f t="shared" si="0"/>
        <v>29</v>
      </c>
      <c r="B39" s="6" t="s">
        <v>513</v>
      </c>
      <c r="C39" s="6" t="s">
        <v>228</v>
      </c>
      <c r="D39" s="6"/>
      <c r="E39" s="6" t="s">
        <v>91</v>
      </c>
      <c r="F39" s="6"/>
      <c r="G39" s="7">
        <f t="shared" si="1"/>
        <v>0</v>
      </c>
      <c r="H39" s="6"/>
      <c r="I39" s="7">
        <f t="shared" si="11"/>
        <v>0</v>
      </c>
      <c r="J39" s="6"/>
      <c r="K39" s="7">
        <f t="shared" si="3"/>
        <v>0</v>
      </c>
      <c r="L39" s="6"/>
      <c r="M39" s="7">
        <f t="shared" si="4"/>
        <v>0</v>
      </c>
      <c r="N39" s="6">
        <v>23</v>
      </c>
      <c r="O39" s="7">
        <f t="shared" si="13"/>
        <v>12.5</v>
      </c>
      <c r="P39" s="6"/>
      <c r="Q39" s="7">
        <f t="shared" si="6"/>
        <v>0</v>
      </c>
      <c r="R39" s="6"/>
      <c r="S39" s="7">
        <f t="shared" si="7"/>
        <v>0</v>
      </c>
      <c r="T39" s="8">
        <f t="shared" si="12"/>
        <v>12.5</v>
      </c>
      <c r="U39" s="6">
        <f t="shared" si="8"/>
        <v>29</v>
      </c>
      <c r="V39" s="6">
        <f t="shared" si="9"/>
        <v>1</v>
      </c>
      <c r="W39" s="17">
        <f t="shared" si="10"/>
        <v>0.14285714285714285</v>
      </c>
    </row>
    <row r="40" spans="1:23" x14ac:dyDescent="0.3">
      <c r="A40" s="5">
        <f t="shared" si="0"/>
        <v>30</v>
      </c>
      <c r="B40" s="6" t="s">
        <v>146</v>
      </c>
      <c r="C40" s="6" t="s">
        <v>147</v>
      </c>
      <c r="D40" s="6"/>
      <c r="E40" s="6" t="s">
        <v>143</v>
      </c>
      <c r="F40" s="6">
        <v>17</v>
      </c>
      <c r="G40" s="7">
        <f t="shared" si="1"/>
        <v>11.111111111111111</v>
      </c>
      <c r="H40" s="6"/>
      <c r="I40" s="7">
        <f t="shared" si="11"/>
        <v>0</v>
      </c>
      <c r="J40" s="6"/>
      <c r="K40" s="7">
        <f t="shared" si="3"/>
        <v>0</v>
      </c>
      <c r="L40" s="6"/>
      <c r="M40" s="7">
        <f t="shared" si="4"/>
        <v>0</v>
      </c>
      <c r="N40" s="6"/>
      <c r="O40" s="7">
        <f t="shared" si="13"/>
        <v>0</v>
      </c>
      <c r="P40" s="6"/>
      <c r="Q40" s="7">
        <f t="shared" si="6"/>
        <v>0</v>
      </c>
      <c r="R40" s="6"/>
      <c r="S40" s="7">
        <f t="shared" si="7"/>
        <v>0</v>
      </c>
      <c r="T40" s="8">
        <f t="shared" si="12"/>
        <v>11.111111111111111</v>
      </c>
      <c r="U40" s="6">
        <f t="shared" si="8"/>
        <v>30</v>
      </c>
      <c r="V40" s="6">
        <f t="shared" si="9"/>
        <v>1</v>
      </c>
      <c r="W40" s="17">
        <f t="shared" si="10"/>
        <v>0.14285714285714285</v>
      </c>
    </row>
    <row r="41" spans="1:23" x14ac:dyDescent="0.3">
      <c r="A41" s="5">
        <f t="shared" si="0"/>
        <v>31</v>
      </c>
      <c r="B41" s="6" t="s">
        <v>281</v>
      </c>
      <c r="C41" s="6" t="s">
        <v>282</v>
      </c>
      <c r="D41" s="6"/>
      <c r="E41" s="6" t="s">
        <v>117</v>
      </c>
      <c r="F41" s="6"/>
      <c r="G41" s="7">
        <f t="shared" si="1"/>
        <v>0</v>
      </c>
      <c r="H41" s="6"/>
      <c r="I41" s="7">
        <f t="shared" si="11"/>
        <v>0</v>
      </c>
      <c r="J41" s="6">
        <v>23</v>
      </c>
      <c r="K41" s="7">
        <f>13/2</f>
        <v>6.5</v>
      </c>
      <c r="L41" s="6"/>
      <c r="M41" s="7">
        <f t="shared" si="4"/>
        <v>0</v>
      </c>
      <c r="N41" s="6"/>
      <c r="O41" s="7">
        <f t="shared" si="13"/>
        <v>0</v>
      </c>
      <c r="P41" s="6"/>
      <c r="Q41" s="7">
        <f t="shared" si="6"/>
        <v>0</v>
      </c>
      <c r="R41" s="6"/>
      <c r="S41" s="7">
        <f t="shared" si="7"/>
        <v>0</v>
      </c>
      <c r="T41" s="8">
        <f t="shared" si="12"/>
        <v>6.5</v>
      </c>
      <c r="U41" s="6">
        <f t="shared" si="8"/>
        <v>31</v>
      </c>
      <c r="V41" s="6">
        <f t="shared" si="9"/>
        <v>1</v>
      </c>
      <c r="W41" s="17">
        <f t="shared" si="10"/>
        <v>0.14285714285714285</v>
      </c>
    </row>
    <row r="42" spans="1:23" x14ac:dyDescent="0.3">
      <c r="A42" s="5">
        <f t="shared" si="0"/>
        <v>32</v>
      </c>
      <c r="B42" s="6" t="s">
        <v>144</v>
      </c>
      <c r="C42" s="6" t="s">
        <v>145</v>
      </c>
      <c r="D42" s="6"/>
      <c r="E42" s="6" t="s">
        <v>108</v>
      </c>
      <c r="F42" s="6">
        <v>18</v>
      </c>
      <c r="G42" s="7">
        <f>11/2</f>
        <v>5.5</v>
      </c>
      <c r="H42" s="6"/>
      <c r="I42" s="7">
        <f t="shared" si="11"/>
        <v>0</v>
      </c>
      <c r="J42" s="6"/>
      <c r="K42" s="7">
        <f>IF(J42=0,,($J$9-J42)*$J$7*100/$J$9)</f>
        <v>0</v>
      </c>
      <c r="L42" s="6"/>
      <c r="M42" s="7">
        <f t="shared" si="4"/>
        <v>0</v>
      </c>
      <c r="N42" s="6"/>
      <c r="O42" s="7">
        <f t="shared" si="13"/>
        <v>0</v>
      </c>
      <c r="P42" s="6"/>
      <c r="Q42" s="7">
        <f t="shared" si="6"/>
        <v>0</v>
      </c>
      <c r="R42" s="6"/>
      <c r="S42" s="7">
        <f t="shared" si="7"/>
        <v>0</v>
      </c>
      <c r="T42" s="8">
        <f t="shared" si="12"/>
        <v>5.5</v>
      </c>
      <c r="U42" s="6">
        <f t="shared" si="8"/>
        <v>32</v>
      </c>
      <c r="V42" s="6">
        <f t="shared" si="9"/>
        <v>1</v>
      </c>
      <c r="W42" s="17">
        <f t="shared" si="10"/>
        <v>0.14285714285714285</v>
      </c>
    </row>
    <row r="43" spans="1:23" x14ac:dyDescent="0.3">
      <c r="A43" s="5">
        <f t="shared" ref="A43" si="14">U43</f>
        <v>33</v>
      </c>
      <c r="B43" s="6"/>
      <c r="C43" s="6"/>
      <c r="D43" s="6"/>
      <c r="E43" s="6"/>
      <c r="F43" s="6"/>
      <c r="G43" s="7">
        <f t="shared" ref="G43" si="15">IF(F43=0,,($F$9-F43)*$F$7*100/$F$9)</f>
        <v>0</v>
      </c>
      <c r="H43" s="6"/>
      <c r="I43" s="7">
        <f t="shared" ref="I43" si="16">IF(H43=0,,($H$9-H43)*$H$7*100/$H$9)</f>
        <v>0</v>
      </c>
      <c r="J43" s="6"/>
      <c r="K43" s="7">
        <f t="shared" ref="K43" si="17">IF(J43=0,,($J$9-J43)*$J$7*100/$J$9)</f>
        <v>0</v>
      </c>
      <c r="L43" s="6"/>
      <c r="M43" s="7">
        <f t="shared" ref="M43" si="18">IF(L43=0,,($L$9-L43)*$L$7*100/$L$9)</f>
        <v>0</v>
      </c>
      <c r="N43" s="6"/>
      <c r="O43" s="7">
        <f t="shared" ref="O43" si="19">IF(N43=0,,($N$9-N43)*$N$7*100/$N$9)</f>
        <v>0</v>
      </c>
      <c r="P43" s="6"/>
      <c r="Q43" s="7">
        <f t="shared" ref="Q43" si="20">IF(P43=0,,($P$9-P43)*$P$7*100/$P$9)</f>
        <v>0</v>
      </c>
      <c r="R43" s="6"/>
      <c r="S43" s="7">
        <f t="shared" ref="S43" si="21">IF(R43=0,,($R$9-R43)*$R$7*100/$R$9)</f>
        <v>0</v>
      </c>
      <c r="T43" s="8">
        <f t="shared" ref="T43" si="22">Q43+O43+S43+M43+G43+I43+K43</f>
        <v>0</v>
      </c>
      <c r="U43" s="6">
        <f t="shared" ref="U43" si="23">ROW(B43)-10</f>
        <v>33</v>
      </c>
      <c r="V43" s="6">
        <f t="shared" ref="V43" si="24">COUNTA(F43,H43,J43,L43,N43,R43,P43)</f>
        <v>0</v>
      </c>
      <c r="W43" s="17">
        <f t="shared" ref="W43" si="25">V43/$G$3</f>
        <v>0</v>
      </c>
    </row>
    <row r="44" spans="1:23" x14ac:dyDescent="0.3">
      <c r="A44" s="29" t="s">
        <v>18</v>
      </c>
      <c r="B44" s="29"/>
      <c r="C44" s="30"/>
      <c r="D44" s="9"/>
      <c r="F44">
        <f>COUNTA(F11:F43)</f>
        <v>18</v>
      </c>
      <c r="H44">
        <f>COUNTA(H11:H43)</f>
        <v>14</v>
      </c>
      <c r="J44">
        <f>COUNTA(J11:J43)</f>
        <v>23</v>
      </c>
      <c r="L44">
        <f>COUNTA(L11:L43)</f>
        <v>21</v>
      </c>
      <c r="N44">
        <f>COUNTA(N11:N43)</f>
        <v>24</v>
      </c>
      <c r="P44">
        <f>COUNTA(P11:P43)</f>
        <v>19</v>
      </c>
      <c r="R44">
        <f>COUNTA(R11:R43)</f>
        <v>13</v>
      </c>
    </row>
    <row r="45" spans="1:23" x14ac:dyDescent="0.3">
      <c r="A45" s="32" t="s">
        <v>40</v>
      </c>
      <c r="B45" s="32"/>
      <c r="C45" s="32"/>
      <c r="F45" s="16">
        <f>F44/$G$2</f>
        <v>0.5625</v>
      </c>
      <c r="H45" s="16">
        <f>H44/$G$2</f>
        <v>0.4375</v>
      </c>
      <c r="J45" s="16">
        <f>J44/$G$2</f>
        <v>0.71875</v>
      </c>
      <c r="L45" s="16">
        <f>L44/$G$2</f>
        <v>0.65625</v>
      </c>
      <c r="N45" s="16">
        <f>N44/$G$2</f>
        <v>0.75</v>
      </c>
      <c r="P45" s="16">
        <f>P44/$G$2</f>
        <v>0.59375</v>
      </c>
      <c r="R45" s="16">
        <f>R44/$G$2</f>
        <v>0.40625</v>
      </c>
    </row>
  </sheetData>
  <sortState xmlns:xlrd2="http://schemas.microsoft.com/office/spreadsheetml/2017/richdata2" ref="A11:W42">
    <sortCondition descending="1" ref="T11:T42"/>
  </sortState>
  <mergeCells count="33">
    <mergeCell ref="A45:C45"/>
    <mergeCell ref="H6:I6"/>
    <mergeCell ref="H7:I7"/>
    <mergeCell ref="H8:I8"/>
    <mergeCell ref="H9:I9"/>
    <mergeCell ref="A44:C44"/>
    <mergeCell ref="F9:G9"/>
    <mergeCell ref="F8:G8"/>
    <mergeCell ref="R6:S6"/>
    <mergeCell ref="R7:S7"/>
    <mergeCell ref="R8:S8"/>
    <mergeCell ref="J9:K9"/>
    <mergeCell ref="R9:S9"/>
    <mergeCell ref="N9:O9"/>
    <mergeCell ref="J8:K8"/>
    <mergeCell ref="N8:O8"/>
    <mergeCell ref="L8:M8"/>
    <mergeCell ref="P6:Q6"/>
    <mergeCell ref="P7:Q7"/>
    <mergeCell ref="P8:Q8"/>
    <mergeCell ref="P9:Q9"/>
    <mergeCell ref="L9:M9"/>
    <mergeCell ref="A1:N1"/>
    <mergeCell ref="F6:G6"/>
    <mergeCell ref="J6:K6"/>
    <mergeCell ref="N6:O6"/>
    <mergeCell ref="F7:G7"/>
    <mergeCell ref="J7:K7"/>
    <mergeCell ref="N7:O7"/>
    <mergeCell ref="L6:M6"/>
    <mergeCell ref="L7:M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R16" sqref="R16"/>
    </sheetView>
  </sheetViews>
  <sheetFormatPr baseColWidth="10" defaultRowHeight="14.4" x14ac:dyDescent="0.3"/>
  <cols>
    <col min="1" max="1" width="18.33203125" bestFit="1" customWidth="1"/>
    <col min="2" max="2" width="40.44140625" bestFit="1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7.6640625" bestFit="1" customWidth="1"/>
    <col min="12" max="14" width="11.44140625" customWidth="1"/>
    <col min="15" max="15" width="16.88671875" customWidth="1"/>
    <col min="16" max="16" width="17.44140625" customWidth="1"/>
    <col min="17" max="17" width="16.886718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2" ht="31.2" x14ac:dyDescent="0.6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2" x14ac:dyDescent="0.3">
      <c r="E2" s="33" t="s">
        <v>36</v>
      </c>
      <c r="F2" s="33"/>
      <c r="G2" s="15">
        <f>COUNTA(B11:B52)</f>
        <v>42</v>
      </c>
    </row>
    <row r="3" spans="1:22" x14ac:dyDescent="0.3">
      <c r="B3" s="2"/>
      <c r="E3" s="33" t="s">
        <v>38</v>
      </c>
      <c r="F3" s="33"/>
      <c r="G3" s="15">
        <f>COUNTA(E8:R8)</f>
        <v>7</v>
      </c>
    </row>
    <row r="4" spans="1:22" x14ac:dyDescent="0.3">
      <c r="B4" s="2"/>
      <c r="C4" s="3"/>
    </row>
    <row r="6" spans="1:22" x14ac:dyDescent="0.3">
      <c r="D6" s="1" t="s">
        <v>0</v>
      </c>
      <c r="E6" s="28" t="s">
        <v>34</v>
      </c>
      <c r="F6" s="28"/>
      <c r="G6" s="28" t="s">
        <v>31</v>
      </c>
      <c r="H6" s="28"/>
      <c r="I6" s="28" t="s">
        <v>15</v>
      </c>
      <c r="J6" s="28"/>
      <c r="K6" s="28" t="s">
        <v>478</v>
      </c>
      <c r="L6" s="28"/>
      <c r="M6" s="28" t="s">
        <v>33</v>
      </c>
      <c r="N6" s="28"/>
      <c r="O6" s="28" t="s">
        <v>576</v>
      </c>
      <c r="P6" s="28"/>
      <c r="Q6" s="28" t="s">
        <v>50</v>
      </c>
      <c r="R6" s="28"/>
    </row>
    <row r="7" spans="1:22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  <c r="K7" s="25">
        <v>2</v>
      </c>
      <c r="L7" s="26"/>
      <c r="M7" s="25">
        <v>2</v>
      </c>
      <c r="N7" s="26"/>
      <c r="O7" s="25">
        <v>3</v>
      </c>
      <c r="P7" s="26"/>
      <c r="Q7" s="25">
        <v>6</v>
      </c>
      <c r="R7" s="26"/>
    </row>
    <row r="8" spans="1:22" x14ac:dyDescent="0.3">
      <c r="D8" s="1" t="s">
        <v>1</v>
      </c>
      <c r="E8" s="31">
        <v>45214</v>
      </c>
      <c r="F8" s="31"/>
      <c r="G8" s="34">
        <v>45241</v>
      </c>
      <c r="H8" s="35"/>
      <c r="I8" s="34">
        <v>45248</v>
      </c>
      <c r="J8" s="35"/>
      <c r="K8" s="31">
        <v>45333</v>
      </c>
      <c r="L8" s="31"/>
      <c r="M8" s="31">
        <v>45389</v>
      </c>
      <c r="N8" s="31"/>
      <c r="O8" s="31">
        <v>45438</v>
      </c>
      <c r="P8" s="31"/>
      <c r="Q8" s="31">
        <v>45465</v>
      </c>
      <c r="R8" s="31"/>
    </row>
    <row r="9" spans="1:22" x14ac:dyDescent="0.3">
      <c r="D9" s="1" t="s">
        <v>2</v>
      </c>
      <c r="E9" s="28">
        <v>23</v>
      </c>
      <c r="F9" s="28"/>
      <c r="G9" s="25">
        <v>22</v>
      </c>
      <c r="H9" s="26"/>
      <c r="I9" s="25">
        <v>25</v>
      </c>
      <c r="J9" s="26"/>
      <c r="K9" s="28">
        <v>27</v>
      </c>
      <c r="L9" s="28"/>
      <c r="M9" s="28">
        <v>28</v>
      </c>
      <c r="N9" s="28"/>
      <c r="O9" s="28">
        <v>27</v>
      </c>
      <c r="P9" s="28"/>
      <c r="Q9" s="28">
        <f>64+132</f>
        <v>196</v>
      </c>
      <c r="R9" s="28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39</v>
      </c>
      <c r="U10" s="1" t="s">
        <v>9</v>
      </c>
      <c r="V10" s="1" t="s">
        <v>41</v>
      </c>
    </row>
    <row r="11" spans="1:22" x14ac:dyDescent="0.3">
      <c r="A11" s="5">
        <f t="shared" ref="A11:A52" si="0">U11</f>
        <v>1</v>
      </c>
      <c r="B11" s="6" t="s">
        <v>96</v>
      </c>
      <c r="C11" s="6" t="s">
        <v>97</v>
      </c>
      <c r="D11" s="6" t="s">
        <v>90</v>
      </c>
      <c r="E11" s="6">
        <v>1</v>
      </c>
      <c r="F11" s="20">
        <f t="shared" ref="F11:F33" si="1">IF(E11=0,,($E$9-E11)*$E$7*100/$E$9)</f>
        <v>191.30434782608697</v>
      </c>
      <c r="G11" s="6">
        <v>3</v>
      </c>
      <c r="H11" s="7">
        <f t="shared" ref="H11:H51" si="2">IF(G11=0,,($G$9-G11)*$G$7*100/$G$9)</f>
        <v>172.72727272727272</v>
      </c>
      <c r="I11" s="6">
        <v>9</v>
      </c>
      <c r="J11" s="7">
        <f t="shared" ref="J11:J16" si="3">IF(I11=0,,($I$9-I11)*$I$7*100/$I$9)</f>
        <v>128</v>
      </c>
      <c r="K11" s="6">
        <v>1</v>
      </c>
      <c r="L11" s="20">
        <f t="shared" ref="L11:L35" si="4">IF(K11=0,,($K$9-K11)*$K$7*100/$K$9)</f>
        <v>192.59259259259258</v>
      </c>
      <c r="M11" s="6">
        <v>2</v>
      </c>
      <c r="N11" s="7">
        <f t="shared" ref="N11:N48" si="5">IF(M11=0,,($M$9-M11)*$M$7*100/$M$9)</f>
        <v>185.71428571428572</v>
      </c>
      <c r="O11" s="6">
        <v>2</v>
      </c>
      <c r="P11" s="20">
        <f t="shared" ref="P11:P48" si="6">IF(O11=0,,($O$9-O11)*$O$7*100/$O$9)</f>
        <v>277.77777777777777</v>
      </c>
      <c r="Q11" s="6">
        <v>3</v>
      </c>
      <c r="R11" s="20">
        <f t="shared" ref="R11:R52" si="7">IF(Q11=0,,($Q$9-Q11)*$Q$7*100/$Q$9)</f>
        <v>590.81632653061229</v>
      </c>
      <c r="S11" s="8">
        <f>F11+P11+L11+R11</f>
        <v>1252.4910447270695</v>
      </c>
      <c r="T11" s="6">
        <f t="shared" ref="T11:T52" si="8">COUNTA(E11,G11,I11,K11,M11,Q11,O11)</f>
        <v>7</v>
      </c>
      <c r="U11" s="6">
        <f t="shared" ref="U11:U52" si="9">ROW(B11)-10</f>
        <v>1</v>
      </c>
      <c r="V11" s="17">
        <f t="shared" ref="V11:V52" si="10">T11/$G$3</f>
        <v>1</v>
      </c>
    </row>
    <row r="12" spans="1:22" x14ac:dyDescent="0.3">
      <c r="A12" s="5">
        <f t="shared" si="0"/>
        <v>2</v>
      </c>
      <c r="B12" s="6" t="s">
        <v>106</v>
      </c>
      <c r="C12" s="6" t="s">
        <v>107</v>
      </c>
      <c r="D12" s="6" t="s">
        <v>108</v>
      </c>
      <c r="E12" s="6">
        <v>3</v>
      </c>
      <c r="F12" s="7">
        <f t="shared" si="1"/>
        <v>173.91304347826087</v>
      </c>
      <c r="G12" s="6"/>
      <c r="H12" s="7">
        <f t="shared" si="2"/>
        <v>0</v>
      </c>
      <c r="I12" s="6">
        <v>1</v>
      </c>
      <c r="J12" s="20">
        <f t="shared" si="3"/>
        <v>192</v>
      </c>
      <c r="K12" s="6">
        <v>2</v>
      </c>
      <c r="L12" s="7">
        <f t="shared" si="4"/>
        <v>185.18518518518519</v>
      </c>
      <c r="M12" s="6">
        <v>1</v>
      </c>
      <c r="N12" s="20">
        <f t="shared" si="5"/>
        <v>192.85714285714286</v>
      </c>
      <c r="O12" s="6">
        <v>1</v>
      </c>
      <c r="P12" s="20">
        <f t="shared" si="6"/>
        <v>288.88888888888891</v>
      </c>
      <c r="Q12" s="6">
        <v>9</v>
      </c>
      <c r="R12" s="20">
        <f t="shared" si="7"/>
        <v>572.44897959183675</v>
      </c>
      <c r="S12" s="8">
        <f>P12+N12+R12+J12</f>
        <v>1246.1950113378684</v>
      </c>
      <c r="T12" s="6">
        <f t="shared" si="8"/>
        <v>6</v>
      </c>
      <c r="U12" s="6">
        <f t="shared" si="9"/>
        <v>2</v>
      </c>
      <c r="V12" s="17">
        <f t="shared" si="10"/>
        <v>0.8571428571428571</v>
      </c>
    </row>
    <row r="13" spans="1:22" x14ac:dyDescent="0.3">
      <c r="A13" s="5">
        <f t="shared" si="0"/>
        <v>3</v>
      </c>
      <c r="B13" s="6" t="s">
        <v>114</v>
      </c>
      <c r="C13" s="6" t="s">
        <v>115</v>
      </c>
      <c r="D13" s="6" t="s">
        <v>90</v>
      </c>
      <c r="E13" s="6">
        <v>2</v>
      </c>
      <c r="F13" s="20">
        <f t="shared" si="1"/>
        <v>182.60869565217391</v>
      </c>
      <c r="G13" s="6">
        <v>10</v>
      </c>
      <c r="H13" s="7">
        <f t="shared" si="2"/>
        <v>109.09090909090909</v>
      </c>
      <c r="I13" s="6">
        <v>3</v>
      </c>
      <c r="J13" s="7">
        <f t="shared" si="3"/>
        <v>176</v>
      </c>
      <c r="K13" s="6">
        <v>3</v>
      </c>
      <c r="L13" s="20">
        <f t="shared" si="4"/>
        <v>177.77777777777777</v>
      </c>
      <c r="M13" s="6">
        <v>3</v>
      </c>
      <c r="N13" s="20">
        <f t="shared" si="5"/>
        <v>178.57142857142858</v>
      </c>
      <c r="O13" s="6">
        <v>3</v>
      </c>
      <c r="P13" s="20">
        <f t="shared" si="6"/>
        <v>266.66666666666669</v>
      </c>
      <c r="Q13" s="6">
        <v>3</v>
      </c>
      <c r="R13" s="20">
        <f t="shared" si="7"/>
        <v>590.81632653061229</v>
      </c>
      <c r="S13" s="8">
        <f>F13+P13+N13+R13</f>
        <v>1218.6631174208815</v>
      </c>
      <c r="T13" s="6">
        <f t="shared" si="8"/>
        <v>7</v>
      </c>
      <c r="U13" s="6">
        <f t="shared" si="9"/>
        <v>3</v>
      </c>
      <c r="V13" s="17">
        <f t="shared" si="10"/>
        <v>1</v>
      </c>
    </row>
    <row r="14" spans="1:22" x14ac:dyDescent="0.3">
      <c r="A14" s="5">
        <f t="shared" si="0"/>
        <v>4</v>
      </c>
      <c r="B14" s="6" t="s">
        <v>287</v>
      </c>
      <c r="C14" s="6" t="s">
        <v>288</v>
      </c>
      <c r="D14" s="6" t="s">
        <v>100</v>
      </c>
      <c r="E14" s="6">
        <v>5</v>
      </c>
      <c r="F14" s="7">
        <f t="shared" si="1"/>
        <v>156.52173913043478</v>
      </c>
      <c r="G14" s="6">
        <v>3</v>
      </c>
      <c r="H14" s="7">
        <f t="shared" si="2"/>
        <v>172.72727272727272</v>
      </c>
      <c r="I14" s="6">
        <v>8</v>
      </c>
      <c r="J14" s="7">
        <f t="shared" si="3"/>
        <v>136</v>
      </c>
      <c r="K14" s="6">
        <v>3</v>
      </c>
      <c r="L14" s="20">
        <f t="shared" si="4"/>
        <v>177.77777777777777</v>
      </c>
      <c r="M14" s="6">
        <v>3</v>
      </c>
      <c r="N14" s="20">
        <f t="shared" si="5"/>
        <v>178.57142857142858</v>
      </c>
      <c r="O14" s="6">
        <v>3</v>
      </c>
      <c r="P14" s="20">
        <f t="shared" si="6"/>
        <v>266.66666666666669</v>
      </c>
      <c r="Q14" s="6">
        <v>28</v>
      </c>
      <c r="R14" s="20">
        <f t="shared" si="7"/>
        <v>514.28571428571433</v>
      </c>
      <c r="S14" s="8">
        <f>P14+R14+L14+N14</f>
        <v>1137.3015873015875</v>
      </c>
      <c r="T14" s="6">
        <f t="shared" si="8"/>
        <v>7</v>
      </c>
      <c r="U14" s="6">
        <f t="shared" si="9"/>
        <v>4</v>
      </c>
      <c r="V14" s="17">
        <f t="shared" si="10"/>
        <v>1</v>
      </c>
    </row>
    <row r="15" spans="1:22" x14ac:dyDescent="0.3">
      <c r="A15" s="5">
        <f t="shared" si="0"/>
        <v>5</v>
      </c>
      <c r="B15" s="6" t="s">
        <v>291</v>
      </c>
      <c r="C15" s="6" t="s">
        <v>292</v>
      </c>
      <c r="D15" s="6" t="s">
        <v>116</v>
      </c>
      <c r="E15" s="6">
        <v>8</v>
      </c>
      <c r="F15" s="7">
        <f t="shared" si="1"/>
        <v>130.43478260869566</v>
      </c>
      <c r="G15" s="6">
        <v>2</v>
      </c>
      <c r="H15" s="20">
        <f t="shared" si="2"/>
        <v>181.81818181818181</v>
      </c>
      <c r="I15" s="6">
        <v>10</v>
      </c>
      <c r="J15" s="7">
        <f t="shared" si="3"/>
        <v>120</v>
      </c>
      <c r="K15" s="6">
        <v>6</v>
      </c>
      <c r="L15" s="20">
        <f t="shared" si="4"/>
        <v>155.55555555555554</v>
      </c>
      <c r="M15" s="6">
        <v>11</v>
      </c>
      <c r="N15" s="7">
        <f t="shared" si="5"/>
        <v>121.42857142857143</v>
      </c>
      <c r="O15" s="6">
        <v>10</v>
      </c>
      <c r="P15" s="20">
        <f t="shared" si="6"/>
        <v>188.88888888888889</v>
      </c>
      <c r="Q15" s="6">
        <f>32+18</f>
        <v>50</v>
      </c>
      <c r="R15" s="20">
        <f t="shared" si="7"/>
        <v>446.9387755102041</v>
      </c>
      <c r="S15" s="8">
        <f>R15+H15+L15+P15</f>
        <v>973.20140177283031</v>
      </c>
      <c r="T15" s="6">
        <f t="shared" si="8"/>
        <v>7</v>
      </c>
      <c r="U15" s="6">
        <f t="shared" si="9"/>
        <v>5</v>
      </c>
      <c r="V15" s="17">
        <f t="shared" si="10"/>
        <v>1</v>
      </c>
    </row>
    <row r="16" spans="1:22" x14ac:dyDescent="0.3">
      <c r="A16" s="5">
        <f t="shared" si="0"/>
        <v>6</v>
      </c>
      <c r="B16" s="6" t="s">
        <v>122</v>
      </c>
      <c r="C16" s="6" t="s">
        <v>123</v>
      </c>
      <c r="D16" s="6" t="s">
        <v>108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16</v>
      </c>
      <c r="L16" s="7">
        <f t="shared" si="4"/>
        <v>81.481481481481481</v>
      </c>
      <c r="M16" s="6">
        <v>8</v>
      </c>
      <c r="N16" s="7">
        <f t="shared" si="5"/>
        <v>142.85714285714286</v>
      </c>
      <c r="O16" s="6">
        <v>6</v>
      </c>
      <c r="P16" s="7">
        <f t="shared" si="6"/>
        <v>233.33333333333334</v>
      </c>
      <c r="Q16" s="6">
        <f>32+19</f>
        <v>51</v>
      </c>
      <c r="R16" s="7">
        <f t="shared" si="7"/>
        <v>443.87755102040819</v>
      </c>
      <c r="S16" s="8">
        <f>P16+J16+R16+N16+F16+H16+L16</f>
        <v>901.54950869236598</v>
      </c>
      <c r="T16" s="6">
        <f t="shared" si="8"/>
        <v>4</v>
      </c>
      <c r="U16" s="6">
        <f t="shared" si="9"/>
        <v>6</v>
      </c>
      <c r="V16" s="17">
        <f t="shared" si="10"/>
        <v>0.5714285714285714</v>
      </c>
    </row>
    <row r="17" spans="1:22" x14ac:dyDescent="0.3">
      <c r="A17" s="5">
        <f t="shared" si="0"/>
        <v>7</v>
      </c>
      <c r="B17" s="6" t="s">
        <v>293</v>
      </c>
      <c r="C17" s="6" t="s">
        <v>294</v>
      </c>
      <c r="D17" s="6" t="s">
        <v>90</v>
      </c>
      <c r="E17" s="6">
        <v>9</v>
      </c>
      <c r="F17" s="20">
        <f t="shared" si="1"/>
        <v>121.73913043478261</v>
      </c>
      <c r="G17" s="6">
        <v>5</v>
      </c>
      <c r="H17" s="20">
        <f t="shared" si="2"/>
        <v>154.54545454545453</v>
      </c>
      <c r="I17" s="6">
        <v>25</v>
      </c>
      <c r="J17" s="7">
        <f>8/2</f>
        <v>4</v>
      </c>
      <c r="K17" s="6">
        <v>12</v>
      </c>
      <c r="L17" s="7">
        <f t="shared" si="4"/>
        <v>111.11111111111111</v>
      </c>
      <c r="M17" s="6">
        <v>12</v>
      </c>
      <c r="N17" s="7">
        <f t="shared" si="5"/>
        <v>114.28571428571429</v>
      </c>
      <c r="O17" s="6">
        <v>9</v>
      </c>
      <c r="P17" s="20">
        <f t="shared" si="6"/>
        <v>200</v>
      </c>
      <c r="Q17" s="6">
        <v>65</v>
      </c>
      <c r="R17" s="20">
        <f t="shared" si="7"/>
        <v>401.0204081632653</v>
      </c>
      <c r="S17" s="8">
        <f>R17+P17+H17+F17</f>
        <v>877.30499314350243</v>
      </c>
      <c r="T17" s="6">
        <f t="shared" si="8"/>
        <v>7</v>
      </c>
      <c r="U17" s="6">
        <f t="shared" si="9"/>
        <v>7</v>
      </c>
      <c r="V17" s="17">
        <f t="shared" si="10"/>
        <v>1</v>
      </c>
    </row>
    <row r="18" spans="1:22" x14ac:dyDescent="0.3">
      <c r="A18" s="5">
        <f t="shared" si="0"/>
        <v>8</v>
      </c>
      <c r="B18" s="6" t="s">
        <v>289</v>
      </c>
      <c r="C18" s="6" t="s">
        <v>290</v>
      </c>
      <c r="D18" s="6" t="s">
        <v>90</v>
      </c>
      <c r="E18" s="6">
        <v>6</v>
      </c>
      <c r="F18" s="20">
        <f t="shared" si="1"/>
        <v>147.82608695652175</v>
      </c>
      <c r="G18" s="6">
        <v>9</v>
      </c>
      <c r="H18" s="7">
        <f t="shared" si="2"/>
        <v>118.18181818181819</v>
      </c>
      <c r="I18" s="6"/>
      <c r="J18" s="7">
        <f t="shared" ref="J18:J52" si="11">IF(I18=0,,($I$9-I18)*$I$7*100/$I$9)</f>
        <v>0</v>
      </c>
      <c r="K18" s="6">
        <v>9</v>
      </c>
      <c r="L18" s="20">
        <f t="shared" si="4"/>
        <v>133.33333333333334</v>
      </c>
      <c r="M18" s="6">
        <v>6</v>
      </c>
      <c r="N18" s="20">
        <f t="shared" si="5"/>
        <v>157.14285714285714</v>
      </c>
      <c r="O18" s="6">
        <v>12</v>
      </c>
      <c r="P18" s="20">
        <f t="shared" si="6"/>
        <v>166.66666666666666</v>
      </c>
      <c r="Q18" s="6">
        <f>64+19</f>
        <v>83</v>
      </c>
      <c r="R18" s="20">
        <f t="shared" si="7"/>
        <v>345.91836734693879</v>
      </c>
      <c r="S18" s="8">
        <f>P18+N18+R18+F18</f>
        <v>817.5539781129844</v>
      </c>
      <c r="T18" s="6">
        <f t="shared" si="8"/>
        <v>6</v>
      </c>
      <c r="U18" s="6">
        <f t="shared" si="9"/>
        <v>8</v>
      </c>
      <c r="V18" s="17">
        <f t="shared" si="10"/>
        <v>0.8571428571428571</v>
      </c>
    </row>
    <row r="19" spans="1:22" x14ac:dyDescent="0.3">
      <c r="A19" s="5">
        <f t="shared" si="0"/>
        <v>9</v>
      </c>
      <c r="B19" s="6" t="s">
        <v>193</v>
      </c>
      <c r="C19" s="6" t="s">
        <v>255</v>
      </c>
      <c r="D19" s="6" t="s">
        <v>90</v>
      </c>
      <c r="E19" s="6">
        <v>7</v>
      </c>
      <c r="F19" s="20">
        <f t="shared" si="1"/>
        <v>139.13043478260869</v>
      </c>
      <c r="G19" s="6">
        <v>7</v>
      </c>
      <c r="H19" s="7">
        <f t="shared" si="2"/>
        <v>136.36363636363637</v>
      </c>
      <c r="I19" s="6">
        <v>13</v>
      </c>
      <c r="J19" s="7">
        <f t="shared" si="11"/>
        <v>96</v>
      </c>
      <c r="K19" s="6"/>
      <c r="L19" s="7">
        <f t="shared" si="4"/>
        <v>0</v>
      </c>
      <c r="M19" s="6">
        <v>9</v>
      </c>
      <c r="N19" s="20">
        <f t="shared" si="5"/>
        <v>135.71428571428572</v>
      </c>
      <c r="O19" s="6">
        <v>11</v>
      </c>
      <c r="P19" s="20">
        <f t="shared" si="6"/>
        <v>177.77777777777777</v>
      </c>
      <c r="Q19" s="6">
        <f>64+13</f>
        <v>77</v>
      </c>
      <c r="R19" s="20">
        <f t="shared" si="7"/>
        <v>364.28571428571428</v>
      </c>
      <c r="S19" s="8">
        <f>P19+N19+R19+F19</f>
        <v>816.90821256038657</v>
      </c>
      <c r="T19" s="6">
        <f t="shared" si="8"/>
        <v>6</v>
      </c>
      <c r="U19" s="6">
        <f t="shared" si="9"/>
        <v>9</v>
      </c>
      <c r="V19" s="17">
        <f t="shared" si="10"/>
        <v>0.8571428571428571</v>
      </c>
    </row>
    <row r="20" spans="1:22" x14ac:dyDescent="0.3">
      <c r="A20" s="5">
        <f t="shared" si="0"/>
        <v>10</v>
      </c>
      <c r="B20" s="6" t="s">
        <v>301</v>
      </c>
      <c r="C20" s="6" t="s">
        <v>201</v>
      </c>
      <c r="D20" s="6" t="s">
        <v>103</v>
      </c>
      <c r="E20" s="6">
        <v>13</v>
      </c>
      <c r="F20" s="7">
        <f t="shared" si="1"/>
        <v>86.956521739130437</v>
      </c>
      <c r="G20" s="6"/>
      <c r="H20" s="7">
        <f t="shared" si="2"/>
        <v>0</v>
      </c>
      <c r="I20" s="6"/>
      <c r="J20" s="7">
        <f t="shared" si="11"/>
        <v>0</v>
      </c>
      <c r="K20" s="6">
        <v>7</v>
      </c>
      <c r="L20" s="7">
        <f t="shared" si="4"/>
        <v>148.14814814814815</v>
      </c>
      <c r="M20" s="6">
        <v>10</v>
      </c>
      <c r="N20" s="7">
        <f t="shared" si="5"/>
        <v>128.57142857142858</v>
      </c>
      <c r="O20" s="6">
        <v>5</v>
      </c>
      <c r="P20" s="7">
        <f t="shared" si="6"/>
        <v>244.44444444444446</v>
      </c>
      <c r="Q20" s="6"/>
      <c r="R20" s="7">
        <f t="shared" si="7"/>
        <v>0</v>
      </c>
      <c r="S20" s="8">
        <f>P20+J20+R20+N20+F20+H20+L20</f>
        <v>608.12054290315155</v>
      </c>
      <c r="T20" s="6">
        <f t="shared" si="8"/>
        <v>4</v>
      </c>
      <c r="U20" s="6">
        <f t="shared" si="9"/>
        <v>10</v>
      </c>
      <c r="V20" s="17">
        <f t="shared" si="10"/>
        <v>0.5714285714285714</v>
      </c>
    </row>
    <row r="21" spans="1:22" x14ac:dyDescent="0.3">
      <c r="A21" s="5">
        <f t="shared" si="0"/>
        <v>11</v>
      </c>
      <c r="B21" s="6" t="s">
        <v>285</v>
      </c>
      <c r="C21" s="6" t="s">
        <v>286</v>
      </c>
      <c r="D21" s="6" t="s">
        <v>90</v>
      </c>
      <c r="E21" s="6">
        <v>3</v>
      </c>
      <c r="F21" s="20">
        <f t="shared" si="1"/>
        <v>173.91304347826087</v>
      </c>
      <c r="G21" s="6">
        <v>12</v>
      </c>
      <c r="H21" s="20">
        <f t="shared" si="2"/>
        <v>90.909090909090907</v>
      </c>
      <c r="I21" s="6"/>
      <c r="J21" s="7">
        <f t="shared" si="11"/>
        <v>0</v>
      </c>
      <c r="K21" s="6">
        <v>18</v>
      </c>
      <c r="L21" s="20">
        <f t="shared" si="4"/>
        <v>66.666666666666671</v>
      </c>
      <c r="M21" s="6">
        <v>21</v>
      </c>
      <c r="N21" s="7">
        <f t="shared" si="5"/>
        <v>50</v>
      </c>
      <c r="O21" s="6">
        <v>7</v>
      </c>
      <c r="P21" s="20">
        <f t="shared" si="6"/>
        <v>222.22222222222223</v>
      </c>
      <c r="Q21" s="6"/>
      <c r="R21" s="7">
        <f t="shared" si="7"/>
        <v>0</v>
      </c>
      <c r="S21" s="8">
        <f>P21+L21+H21+F21</f>
        <v>553.71102327624067</v>
      </c>
      <c r="T21" s="6">
        <f t="shared" si="8"/>
        <v>5</v>
      </c>
      <c r="U21" s="6">
        <f t="shared" si="9"/>
        <v>11</v>
      </c>
      <c r="V21" s="17">
        <f t="shared" si="10"/>
        <v>0.7142857142857143</v>
      </c>
    </row>
    <row r="22" spans="1:22" x14ac:dyDescent="0.3">
      <c r="A22" s="5">
        <f t="shared" si="0"/>
        <v>12</v>
      </c>
      <c r="B22" s="6" t="s">
        <v>187</v>
      </c>
      <c r="C22" s="6" t="s">
        <v>188</v>
      </c>
      <c r="D22" s="6" t="s">
        <v>108</v>
      </c>
      <c r="E22" s="6"/>
      <c r="F22" s="7">
        <f t="shared" si="1"/>
        <v>0</v>
      </c>
      <c r="G22" s="6"/>
      <c r="H22" s="7">
        <f t="shared" si="2"/>
        <v>0</v>
      </c>
      <c r="I22" s="6">
        <v>17</v>
      </c>
      <c r="J22" s="7">
        <f t="shared" si="11"/>
        <v>64</v>
      </c>
      <c r="K22" s="6"/>
      <c r="L22" s="7">
        <f t="shared" si="4"/>
        <v>0</v>
      </c>
      <c r="M22" s="6"/>
      <c r="N22" s="7">
        <f t="shared" si="5"/>
        <v>0</v>
      </c>
      <c r="O22" s="6">
        <v>8</v>
      </c>
      <c r="P22" s="7">
        <f t="shared" si="6"/>
        <v>211.11111111111111</v>
      </c>
      <c r="Q22" s="6">
        <f>64+45</f>
        <v>109</v>
      </c>
      <c r="R22" s="7">
        <f t="shared" si="7"/>
        <v>266.32653061224488</v>
      </c>
      <c r="S22" s="8">
        <f>P22+J22+R22+N22+F22+H22+L22</f>
        <v>541.43764172335591</v>
      </c>
      <c r="T22" s="6">
        <f t="shared" si="8"/>
        <v>3</v>
      </c>
      <c r="U22" s="6">
        <f t="shared" si="9"/>
        <v>12</v>
      </c>
      <c r="V22" s="17">
        <f t="shared" si="10"/>
        <v>0.42857142857142855</v>
      </c>
    </row>
    <row r="23" spans="1:22" x14ac:dyDescent="0.3">
      <c r="A23" s="5">
        <f t="shared" si="0"/>
        <v>13</v>
      </c>
      <c r="B23" s="6" t="s">
        <v>297</v>
      </c>
      <c r="C23" s="6" t="s">
        <v>298</v>
      </c>
      <c r="D23" s="6" t="s">
        <v>90</v>
      </c>
      <c r="E23" s="6">
        <v>11</v>
      </c>
      <c r="F23" s="20">
        <f t="shared" si="1"/>
        <v>104.34782608695652</v>
      </c>
      <c r="G23" s="6">
        <v>1</v>
      </c>
      <c r="H23" s="20">
        <f t="shared" si="2"/>
        <v>190.90909090909091</v>
      </c>
      <c r="I23" s="6"/>
      <c r="J23" s="7">
        <f t="shared" si="11"/>
        <v>0</v>
      </c>
      <c r="K23" s="6">
        <v>14</v>
      </c>
      <c r="L23" s="7">
        <f t="shared" si="4"/>
        <v>96.296296296296291</v>
      </c>
      <c r="M23" s="6">
        <v>13</v>
      </c>
      <c r="N23" s="20">
        <f t="shared" si="5"/>
        <v>107.14285714285714</v>
      </c>
      <c r="O23" s="6">
        <v>15</v>
      </c>
      <c r="P23" s="20">
        <f t="shared" si="6"/>
        <v>133.33333333333334</v>
      </c>
      <c r="Q23" s="6"/>
      <c r="R23" s="7">
        <f t="shared" si="7"/>
        <v>0</v>
      </c>
      <c r="S23" s="8">
        <f>P23+N23+H23+F23</f>
        <v>535.73310747223786</v>
      </c>
      <c r="T23" s="6">
        <f t="shared" si="8"/>
        <v>5</v>
      </c>
      <c r="U23" s="6">
        <f t="shared" si="9"/>
        <v>13</v>
      </c>
      <c r="V23" s="17">
        <f t="shared" si="10"/>
        <v>0.7142857142857143</v>
      </c>
    </row>
    <row r="24" spans="1:22" x14ac:dyDescent="0.3">
      <c r="A24" s="5">
        <f t="shared" si="0"/>
        <v>14</v>
      </c>
      <c r="B24" s="6" t="s">
        <v>370</v>
      </c>
      <c r="C24" s="6" t="s">
        <v>371</v>
      </c>
      <c r="D24" s="6" t="s">
        <v>117</v>
      </c>
      <c r="E24" s="6"/>
      <c r="F24" s="7">
        <f t="shared" si="1"/>
        <v>0</v>
      </c>
      <c r="G24" s="6">
        <v>11</v>
      </c>
      <c r="H24" s="7">
        <f t="shared" si="2"/>
        <v>100</v>
      </c>
      <c r="I24" s="6"/>
      <c r="J24" s="7">
        <f t="shared" si="11"/>
        <v>0</v>
      </c>
      <c r="K24" s="6">
        <v>8</v>
      </c>
      <c r="L24" s="7">
        <f t="shared" si="4"/>
        <v>140.74074074074073</v>
      </c>
      <c r="M24" s="6">
        <v>7</v>
      </c>
      <c r="N24" s="7">
        <f t="shared" si="5"/>
        <v>150</v>
      </c>
      <c r="O24" s="6">
        <v>14</v>
      </c>
      <c r="P24" s="7">
        <f t="shared" si="6"/>
        <v>144.44444444444446</v>
      </c>
      <c r="Q24" s="6"/>
      <c r="R24" s="7">
        <f t="shared" si="7"/>
        <v>0</v>
      </c>
      <c r="S24" s="8">
        <f>P24+J24+R24+N24+F24+H24+L24</f>
        <v>535.18518518518522</v>
      </c>
      <c r="T24" s="6">
        <f t="shared" si="8"/>
        <v>4</v>
      </c>
      <c r="U24" s="6">
        <f t="shared" si="9"/>
        <v>14</v>
      </c>
      <c r="V24" s="17">
        <f t="shared" si="10"/>
        <v>0.5714285714285714</v>
      </c>
    </row>
    <row r="25" spans="1:22" x14ac:dyDescent="0.3">
      <c r="A25" s="6">
        <f t="shared" si="0"/>
        <v>15</v>
      </c>
      <c r="B25" s="6" t="s">
        <v>308</v>
      </c>
      <c r="C25" s="6" t="s">
        <v>294</v>
      </c>
      <c r="D25" s="6" t="s">
        <v>116</v>
      </c>
      <c r="E25" s="6">
        <v>21</v>
      </c>
      <c r="F25" s="7">
        <f t="shared" si="1"/>
        <v>17.391304347826086</v>
      </c>
      <c r="G25" s="6">
        <v>18</v>
      </c>
      <c r="H25" s="7">
        <f t="shared" si="2"/>
        <v>36.363636363636367</v>
      </c>
      <c r="I25" s="6">
        <v>22</v>
      </c>
      <c r="J25" s="20">
        <f t="shared" si="11"/>
        <v>24</v>
      </c>
      <c r="K25" s="6">
        <v>15</v>
      </c>
      <c r="L25" s="20">
        <f t="shared" si="4"/>
        <v>88.888888888888886</v>
      </c>
      <c r="M25" s="6">
        <v>14</v>
      </c>
      <c r="N25" s="20">
        <f t="shared" si="5"/>
        <v>100</v>
      </c>
      <c r="O25" s="6">
        <v>18</v>
      </c>
      <c r="P25" s="20">
        <f t="shared" si="6"/>
        <v>100</v>
      </c>
      <c r="Q25" s="6">
        <f>64+88</f>
        <v>152</v>
      </c>
      <c r="R25" s="20">
        <f t="shared" si="7"/>
        <v>134.69387755102042</v>
      </c>
      <c r="S25" s="8">
        <f>P25+R25+N25+L25</f>
        <v>423.58276643990928</v>
      </c>
      <c r="T25" s="6">
        <f t="shared" si="8"/>
        <v>7</v>
      </c>
      <c r="U25" s="6">
        <f t="shared" si="9"/>
        <v>15</v>
      </c>
      <c r="V25" s="17">
        <f t="shared" si="10"/>
        <v>1</v>
      </c>
    </row>
    <row r="26" spans="1:22" x14ac:dyDescent="0.3">
      <c r="A26" s="5">
        <f t="shared" si="0"/>
        <v>16</v>
      </c>
      <c r="B26" s="6" t="s">
        <v>271</v>
      </c>
      <c r="C26" s="6" t="s">
        <v>296</v>
      </c>
      <c r="D26" s="6" t="s">
        <v>103</v>
      </c>
      <c r="E26" s="6">
        <v>15</v>
      </c>
      <c r="F26" s="20">
        <f t="shared" si="1"/>
        <v>69.565217391304344</v>
      </c>
      <c r="G26" s="6">
        <v>8</v>
      </c>
      <c r="H26" s="20">
        <f t="shared" si="2"/>
        <v>127.27272727272727</v>
      </c>
      <c r="I26" s="6"/>
      <c r="J26" s="7">
        <f t="shared" si="11"/>
        <v>0</v>
      </c>
      <c r="K26" s="6">
        <v>13</v>
      </c>
      <c r="L26" s="20">
        <f t="shared" si="4"/>
        <v>103.70370370370371</v>
      </c>
      <c r="M26" s="6">
        <v>20</v>
      </c>
      <c r="N26" s="7">
        <f t="shared" si="5"/>
        <v>57.142857142857146</v>
      </c>
      <c r="O26" s="6">
        <v>16</v>
      </c>
      <c r="P26" s="20">
        <f t="shared" si="6"/>
        <v>122.22222222222223</v>
      </c>
      <c r="Q26" s="6"/>
      <c r="R26" s="7">
        <f t="shared" si="7"/>
        <v>0</v>
      </c>
      <c r="S26" s="8">
        <f>P26+L26+H26+F26</f>
        <v>422.76387058995749</v>
      </c>
      <c r="T26" s="6">
        <f t="shared" si="8"/>
        <v>5</v>
      </c>
      <c r="U26" s="6">
        <f t="shared" si="9"/>
        <v>16</v>
      </c>
      <c r="V26" s="17">
        <f t="shared" si="10"/>
        <v>0.7142857142857143</v>
      </c>
    </row>
    <row r="27" spans="1:22" x14ac:dyDescent="0.3">
      <c r="A27" s="5">
        <f t="shared" si="0"/>
        <v>17</v>
      </c>
      <c r="B27" s="6" t="s">
        <v>482</v>
      </c>
      <c r="C27" s="14" t="s">
        <v>255</v>
      </c>
      <c r="D27" s="6" t="s">
        <v>483</v>
      </c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>
        <v>5</v>
      </c>
      <c r="L27" s="7">
        <f t="shared" si="4"/>
        <v>162.96296296296296</v>
      </c>
      <c r="M27" s="6">
        <v>5</v>
      </c>
      <c r="N27" s="7">
        <f t="shared" si="5"/>
        <v>164.28571428571428</v>
      </c>
      <c r="O27" s="6"/>
      <c r="P27" s="7">
        <f t="shared" si="6"/>
        <v>0</v>
      </c>
      <c r="Q27" s="6"/>
      <c r="R27" s="7">
        <f t="shared" si="7"/>
        <v>0</v>
      </c>
      <c r="S27" s="8">
        <f t="shared" ref="S27:S33" si="12">P27+J27+R27+N27+F27+H27+L27</f>
        <v>327.24867724867727</v>
      </c>
      <c r="T27" s="6">
        <f t="shared" si="8"/>
        <v>2</v>
      </c>
      <c r="U27" s="6">
        <f t="shared" si="9"/>
        <v>17</v>
      </c>
      <c r="V27" s="17">
        <f t="shared" si="10"/>
        <v>0.2857142857142857</v>
      </c>
    </row>
    <row r="28" spans="1:22" x14ac:dyDescent="0.3">
      <c r="A28" s="5">
        <f t="shared" si="0"/>
        <v>18</v>
      </c>
      <c r="B28" s="6" t="s">
        <v>368</v>
      </c>
      <c r="C28" s="6" t="s">
        <v>369</v>
      </c>
      <c r="D28" s="6" t="s">
        <v>359</v>
      </c>
      <c r="E28" s="6"/>
      <c r="F28" s="7">
        <f t="shared" si="1"/>
        <v>0</v>
      </c>
      <c r="G28" s="6">
        <v>6</v>
      </c>
      <c r="H28" s="7">
        <f t="shared" si="2"/>
        <v>145.45454545454547</v>
      </c>
      <c r="I28" s="6"/>
      <c r="J28" s="7">
        <f t="shared" si="11"/>
        <v>0</v>
      </c>
      <c r="K28" s="6">
        <v>10</v>
      </c>
      <c r="L28" s="7">
        <f t="shared" si="4"/>
        <v>125.92592592592592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12"/>
        <v>271.38047138047136</v>
      </c>
      <c r="T28" s="6">
        <f t="shared" si="8"/>
        <v>2</v>
      </c>
      <c r="U28" s="6">
        <f t="shared" si="9"/>
        <v>18</v>
      </c>
      <c r="V28" s="17">
        <f t="shared" si="10"/>
        <v>0.2857142857142857</v>
      </c>
    </row>
    <row r="29" spans="1:22" x14ac:dyDescent="0.3">
      <c r="A29" s="6">
        <f t="shared" si="0"/>
        <v>19</v>
      </c>
      <c r="B29" s="6" t="s">
        <v>486</v>
      </c>
      <c r="C29" s="6" t="s">
        <v>487</v>
      </c>
      <c r="D29" s="6" t="s">
        <v>117</v>
      </c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>
        <v>25</v>
      </c>
      <c r="L29" s="7">
        <f t="shared" si="4"/>
        <v>14.814814814814815</v>
      </c>
      <c r="M29" s="6">
        <v>14</v>
      </c>
      <c r="N29" s="7">
        <f t="shared" si="5"/>
        <v>100</v>
      </c>
      <c r="O29" s="6">
        <v>13</v>
      </c>
      <c r="P29" s="7">
        <f t="shared" si="6"/>
        <v>155.55555555555554</v>
      </c>
      <c r="Q29" s="6"/>
      <c r="R29" s="7">
        <f t="shared" si="7"/>
        <v>0</v>
      </c>
      <c r="S29" s="8">
        <f t="shared" si="12"/>
        <v>270.37037037037038</v>
      </c>
      <c r="T29" s="6">
        <f t="shared" si="8"/>
        <v>3</v>
      </c>
      <c r="U29" s="6">
        <f t="shared" si="9"/>
        <v>19</v>
      </c>
      <c r="V29" s="17">
        <f t="shared" si="10"/>
        <v>0.42857142857142855</v>
      </c>
    </row>
    <row r="30" spans="1:22" x14ac:dyDescent="0.3">
      <c r="A30" s="5">
        <f t="shared" si="0"/>
        <v>20</v>
      </c>
      <c r="B30" s="6" t="s">
        <v>303</v>
      </c>
      <c r="C30" s="6" t="s">
        <v>97</v>
      </c>
      <c r="D30" s="6" t="s">
        <v>103</v>
      </c>
      <c r="E30" s="6">
        <v>16</v>
      </c>
      <c r="F30" s="20">
        <f t="shared" si="1"/>
        <v>60.869565217391305</v>
      </c>
      <c r="G30" s="6">
        <v>13</v>
      </c>
      <c r="H30" s="20">
        <f t="shared" si="2"/>
        <v>81.818181818181813</v>
      </c>
      <c r="I30" s="6">
        <v>23</v>
      </c>
      <c r="J30" s="7">
        <f t="shared" si="11"/>
        <v>16</v>
      </c>
      <c r="K30" s="6">
        <v>21</v>
      </c>
      <c r="L30" s="7">
        <f t="shared" si="4"/>
        <v>44.444444444444443</v>
      </c>
      <c r="M30" s="6"/>
      <c r="N30" s="7">
        <f t="shared" si="5"/>
        <v>0</v>
      </c>
      <c r="O30" s="6">
        <v>22</v>
      </c>
      <c r="P30" s="7">
        <f t="shared" si="6"/>
        <v>55.555555555555557</v>
      </c>
      <c r="Q30" s="6"/>
      <c r="R30" s="7">
        <f t="shared" si="7"/>
        <v>0</v>
      </c>
      <c r="S30" s="8">
        <f t="shared" si="12"/>
        <v>258.68774703557312</v>
      </c>
      <c r="T30" s="6">
        <f t="shared" si="8"/>
        <v>5</v>
      </c>
      <c r="U30" s="6">
        <f t="shared" si="9"/>
        <v>20</v>
      </c>
      <c r="V30" s="17">
        <f t="shared" si="10"/>
        <v>0.7142857142857143</v>
      </c>
    </row>
    <row r="31" spans="1:22" x14ac:dyDescent="0.3">
      <c r="A31" s="5">
        <f t="shared" si="0"/>
        <v>21</v>
      </c>
      <c r="B31" s="6" t="s">
        <v>248</v>
      </c>
      <c r="C31" s="6" t="s">
        <v>304</v>
      </c>
      <c r="D31" s="6" t="s">
        <v>100</v>
      </c>
      <c r="E31" s="6">
        <v>17</v>
      </c>
      <c r="F31" s="7">
        <f t="shared" si="1"/>
        <v>52.173913043478258</v>
      </c>
      <c r="G31" s="6">
        <v>14</v>
      </c>
      <c r="H31" s="7">
        <f t="shared" si="2"/>
        <v>72.727272727272734</v>
      </c>
      <c r="I31" s="6"/>
      <c r="J31" s="7">
        <f t="shared" si="11"/>
        <v>0</v>
      </c>
      <c r="K31" s="6">
        <v>19</v>
      </c>
      <c r="L31" s="7">
        <f t="shared" si="4"/>
        <v>59.25925925925926</v>
      </c>
      <c r="M31" s="6">
        <v>19</v>
      </c>
      <c r="N31" s="7">
        <f t="shared" si="5"/>
        <v>64.285714285714292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12"/>
        <v>248.44615931572454</v>
      </c>
      <c r="T31" s="6">
        <f t="shared" si="8"/>
        <v>4</v>
      </c>
      <c r="U31" s="6">
        <f t="shared" si="9"/>
        <v>21</v>
      </c>
      <c r="V31" s="17">
        <f t="shared" si="10"/>
        <v>0.5714285714285714</v>
      </c>
    </row>
    <row r="32" spans="1:22" x14ac:dyDescent="0.3">
      <c r="A32" s="5">
        <f t="shared" si="0"/>
        <v>22</v>
      </c>
      <c r="B32" s="6" t="s">
        <v>455</v>
      </c>
      <c r="C32" s="6" t="s">
        <v>456</v>
      </c>
      <c r="D32" s="6" t="s">
        <v>117</v>
      </c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>
        <v>20</v>
      </c>
      <c r="L32" s="7">
        <f t="shared" si="4"/>
        <v>51.851851851851855</v>
      </c>
      <c r="M32" s="6">
        <v>18</v>
      </c>
      <c r="N32" s="7">
        <f t="shared" si="5"/>
        <v>71.428571428571431</v>
      </c>
      <c r="O32" s="6">
        <v>20</v>
      </c>
      <c r="P32" s="7">
        <f t="shared" si="6"/>
        <v>77.777777777777771</v>
      </c>
      <c r="Q32" s="6"/>
      <c r="R32" s="7">
        <f t="shared" si="7"/>
        <v>0</v>
      </c>
      <c r="S32" s="8">
        <f t="shared" si="12"/>
        <v>201.05820105820106</v>
      </c>
      <c r="T32" s="6">
        <f t="shared" si="8"/>
        <v>3</v>
      </c>
      <c r="U32" s="6">
        <f t="shared" si="9"/>
        <v>22</v>
      </c>
      <c r="V32" s="17">
        <f t="shared" si="10"/>
        <v>0.42857142857142855</v>
      </c>
    </row>
    <row r="33" spans="1:22" x14ac:dyDescent="0.3">
      <c r="A33" s="5">
        <f t="shared" si="0"/>
        <v>23</v>
      </c>
      <c r="B33" s="6" t="s">
        <v>451</v>
      </c>
      <c r="C33" s="6" t="s">
        <v>484</v>
      </c>
      <c r="D33" s="6" t="s">
        <v>483</v>
      </c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>
        <v>11</v>
      </c>
      <c r="L33" s="7">
        <f t="shared" si="4"/>
        <v>118.51851851851852</v>
      </c>
      <c r="M33" s="6">
        <v>17</v>
      </c>
      <c r="N33" s="7">
        <f t="shared" si="5"/>
        <v>78.571428571428569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12"/>
        <v>197.08994708994709</v>
      </c>
      <c r="T33" s="6">
        <f t="shared" si="8"/>
        <v>2</v>
      </c>
      <c r="U33" s="6">
        <f t="shared" si="9"/>
        <v>23</v>
      </c>
      <c r="V33" s="17">
        <f t="shared" si="10"/>
        <v>0.2857142857142857</v>
      </c>
    </row>
    <row r="34" spans="1:22" x14ac:dyDescent="0.3">
      <c r="A34" s="5">
        <f t="shared" si="0"/>
        <v>24</v>
      </c>
      <c r="B34" s="6" t="s">
        <v>311</v>
      </c>
      <c r="C34" s="6" t="s">
        <v>312</v>
      </c>
      <c r="D34" s="6" t="s">
        <v>90</v>
      </c>
      <c r="E34" s="6">
        <v>23</v>
      </c>
      <c r="F34" s="7">
        <f>9/2</f>
        <v>4.5</v>
      </c>
      <c r="G34" s="6">
        <v>16</v>
      </c>
      <c r="H34" s="20">
        <f t="shared" si="2"/>
        <v>54.545454545454547</v>
      </c>
      <c r="I34" s="6">
        <v>20</v>
      </c>
      <c r="J34" s="20">
        <f t="shared" si="11"/>
        <v>40</v>
      </c>
      <c r="K34" s="6">
        <v>22</v>
      </c>
      <c r="L34" s="20">
        <f t="shared" si="4"/>
        <v>37.037037037037038</v>
      </c>
      <c r="M34" s="6">
        <v>25</v>
      </c>
      <c r="N34" s="7">
        <f t="shared" si="5"/>
        <v>21.428571428571427</v>
      </c>
      <c r="O34" s="6">
        <v>24</v>
      </c>
      <c r="P34" s="20">
        <f t="shared" si="6"/>
        <v>33.333333333333336</v>
      </c>
      <c r="Q34" s="6"/>
      <c r="R34" s="7">
        <f t="shared" si="7"/>
        <v>0</v>
      </c>
      <c r="S34" s="8">
        <f>P34+L34+J34+H34</f>
        <v>164.91582491582494</v>
      </c>
      <c r="T34" s="6">
        <f t="shared" si="8"/>
        <v>6</v>
      </c>
      <c r="U34" s="6">
        <f t="shared" si="9"/>
        <v>24</v>
      </c>
      <c r="V34" s="17">
        <f t="shared" si="10"/>
        <v>0.8571428571428571</v>
      </c>
    </row>
    <row r="35" spans="1:22" x14ac:dyDescent="0.3">
      <c r="A35" s="5">
        <f t="shared" si="0"/>
        <v>25</v>
      </c>
      <c r="B35" s="6" t="s">
        <v>305</v>
      </c>
      <c r="C35" s="6" t="s">
        <v>306</v>
      </c>
      <c r="D35" s="6" t="s">
        <v>90</v>
      </c>
      <c r="E35" s="6">
        <v>19</v>
      </c>
      <c r="F35" s="7">
        <f t="shared" ref="F35:F52" si="13">IF(E35=0,,($E$9-E35)*$E$7*100/$E$9)</f>
        <v>34.782608695652172</v>
      </c>
      <c r="G35" s="6">
        <v>17</v>
      </c>
      <c r="H35" s="7">
        <f t="shared" si="2"/>
        <v>45.454545454545453</v>
      </c>
      <c r="I35" s="6">
        <v>24</v>
      </c>
      <c r="J35" s="7">
        <f t="shared" si="11"/>
        <v>8</v>
      </c>
      <c r="K35" s="6">
        <v>17</v>
      </c>
      <c r="L35" s="7">
        <f t="shared" si="4"/>
        <v>74.074074074074076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ref="S35:S52" si="14">P35+J35+R35+N35+F35+H35+L35</f>
        <v>162.3112282242717</v>
      </c>
      <c r="T35" s="6">
        <f t="shared" si="8"/>
        <v>4</v>
      </c>
      <c r="U35" s="6">
        <f t="shared" si="9"/>
        <v>25</v>
      </c>
      <c r="V35" s="17">
        <f t="shared" si="10"/>
        <v>0.5714285714285714</v>
      </c>
    </row>
    <row r="36" spans="1:22" x14ac:dyDescent="0.3">
      <c r="A36" s="5">
        <f t="shared" si="0"/>
        <v>26</v>
      </c>
      <c r="B36" s="6" t="s">
        <v>307</v>
      </c>
      <c r="C36" s="6" t="s">
        <v>306</v>
      </c>
      <c r="D36" s="6" t="s">
        <v>103</v>
      </c>
      <c r="E36" s="6">
        <v>20</v>
      </c>
      <c r="F36" s="7">
        <f t="shared" si="13"/>
        <v>26.086956521739129</v>
      </c>
      <c r="G36" s="6">
        <v>15</v>
      </c>
      <c r="H36" s="7">
        <f t="shared" si="2"/>
        <v>63.636363636363633</v>
      </c>
      <c r="I36" s="6"/>
      <c r="J36" s="7">
        <f t="shared" si="11"/>
        <v>0</v>
      </c>
      <c r="K36" s="6">
        <v>27</v>
      </c>
      <c r="L36" s="7">
        <f>7/2</f>
        <v>3.5</v>
      </c>
      <c r="M36" s="6"/>
      <c r="N36" s="7">
        <f t="shared" si="5"/>
        <v>0</v>
      </c>
      <c r="O36" s="6">
        <v>21</v>
      </c>
      <c r="P36" s="7">
        <f t="shared" si="6"/>
        <v>66.666666666666671</v>
      </c>
      <c r="Q36" s="6"/>
      <c r="R36" s="7">
        <f t="shared" si="7"/>
        <v>0</v>
      </c>
      <c r="S36" s="8">
        <f t="shared" si="14"/>
        <v>159.88998682476944</v>
      </c>
      <c r="T36" s="6">
        <f t="shared" si="8"/>
        <v>4</v>
      </c>
      <c r="U36" s="6">
        <f t="shared" si="9"/>
        <v>26</v>
      </c>
      <c r="V36" s="17">
        <f t="shared" si="10"/>
        <v>0.5714285714285714</v>
      </c>
    </row>
    <row r="37" spans="1:22" x14ac:dyDescent="0.3">
      <c r="A37" s="5">
        <f t="shared" si="0"/>
        <v>27</v>
      </c>
      <c r="B37" s="6" t="s">
        <v>457</v>
      </c>
      <c r="C37" s="6" t="s">
        <v>260</v>
      </c>
      <c r="D37" s="6" t="s">
        <v>108</v>
      </c>
      <c r="E37" s="6"/>
      <c r="F37" s="7">
        <f t="shared" si="13"/>
        <v>0</v>
      </c>
      <c r="G37" s="6"/>
      <c r="H37" s="7">
        <f t="shared" si="2"/>
        <v>0</v>
      </c>
      <c r="I37" s="6"/>
      <c r="J37" s="7">
        <f t="shared" si="11"/>
        <v>0</v>
      </c>
      <c r="K37" s="6"/>
      <c r="L37" s="7">
        <f t="shared" ref="L37:L52" si="15">IF(K37=0,,($K$9-K37)*$K$7*100/$K$9)</f>
        <v>0</v>
      </c>
      <c r="M37" s="6">
        <v>23</v>
      </c>
      <c r="N37" s="7">
        <f t="shared" si="5"/>
        <v>35.714285714285715</v>
      </c>
      <c r="O37" s="6">
        <v>17</v>
      </c>
      <c r="P37" s="7">
        <f t="shared" si="6"/>
        <v>111.11111111111111</v>
      </c>
      <c r="Q37" s="6"/>
      <c r="R37" s="7">
        <f t="shared" si="7"/>
        <v>0</v>
      </c>
      <c r="S37" s="8">
        <f t="shared" si="14"/>
        <v>146.82539682539684</v>
      </c>
      <c r="T37" s="6">
        <f t="shared" si="8"/>
        <v>2</v>
      </c>
      <c r="U37" s="6">
        <f t="shared" si="9"/>
        <v>27</v>
      </c>
      <c r="V37" s="17">
        <f t="shared" si="10"/>
        <v>0.2857142857142857</v>
      </c>
    </row>
    <row r="38" spans="1:22" x14ac:dyDescent="0.3">
      <c r="A38" s="5">
        <f t="shared" si="0"/>
        <v>28</v>
      </c>
      <c r="B38" s="6" t="s">
        <v>189</v>
      </c>
      <c r="C38" s="6" t="s">
        <v>190</v>
      </c>
      <c r="D38" s="6" t="s">
        <v>108</v>
      </c>
      <c r="E38" s="6"/>
      <c r="F38" s="7">
        <f t="shared" si="13"/>
        <v>0</v>
      </c>
      <c r="G38" s="6"/>
      <c r="H38" s="7">
        <f t="shared" si="2"/>
        <v>0</v>
      </c>
      <c r="I38" s="6"/>
      <c r="J38" s="7">
        <f t="shared" si="11"/>
        <v>0</v>
      </c>
      <c r="K38" s="6"/>
      <c r="L38" s="7">
        <f t="shared" si="15"/>
        <v>0</v>
      </c>
      <c r="M38" s="6"/>
      <c r="N38" s="7">
        <f t="shared" si="5"/>
        <v>0</v>
      </c>
      <c r="O38" s="6">
        <v>25</v>
      </c>
      <c r="P38" s="7">
        <f t="shared" si="6"/>
        <v>22.222222222222221</v>
      </c>
      <c r="Q38" s="6">
        <f>64+93</f>
        <v>157</v>
      </c>
      <c r="R38" s="7">
        <f t="shared" si="7"/>
        <v>119.38775510204081</v>
      </c>
      <c r="S38" s="8">
        <f t="shared" si="14"/>
        <v>141.60997732426304</v>
      </c>
      <c r="T38" s="6">
        <f t="shared" si="8"/>
        <v>2</v>
      </c>
      <c r="U38" s="6">
        <f t="shared" si="9"/>
        <v>28</v>
      </c>
      <c r="V38" s="17">
        <f t="shared" si="10"/>
        <v>0.2857142857142857</v>
      </c>
    </row>
    <row r="39" spans="1:22" x14ac:dyDescent="0.3">
      <c r="A39" s="5">
        <f t="shared" si="0"/>
        <v>29</v>
      </c>
      <c r="B39" s="6" t="s">
        <v>140</v>
      </c>
      <c r="C39" s="6" t="s">
        <v>141</v>
      </c>
      <c r="D39" s="6" t="s">
        <v>108</v>
      </c>
      <c r="E39" s="6">
        <v>18</v>
      </c>
      <c r="F39" s="7">
        <f t="shared" si="13"/>
        <v>43.478260869565219</v>
      </c>
      <c r="G39" s="6"/>
      <c r="H39" s="7">
        <f t="shared" si="2"/>
        <v>0</v>
      </c>
      <c r="I39" s="6"/>
      <c r="J39" s="7">
        <f t="shared" si="11"/>
        <v>0</v>
      </c>
      <c r="K39" s="6">
        <v>26</v>
      </c>
      <c r="L39" s="7">
        <f t="shared" si="15"/>
        <v>7.4074074074074074</v>
      </c>
      <c r="M39" s="6">
        <v>16</v>
      </c>
      <c r="N39" s="7">
        <f t="shared" si="5"/>
        <v>85.714285714285708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14"/>
        <v>136.59995399125833</v>
      </c>
      <c r="T39" s="6">
        <f t="shared" si="8"/>
        <v>3</v>
      </c>
      <c r="U39" s="6">
        <f t="shared" si="9"/>
        <v>29</v>
      </c>
      <c r="V39" s="17">
        <f t="shared" si="10"/>
        <v>0.42857142857142855</v>
      </c>
    </row>
    <row r="40" spans="1:22" x14ac:dyDescent="0.3">
      <c r="A40" s="5">
        <f t="shared" si="0"/>
        <v>30</v>
      </c>
      <c r="B40" s="6" t="s">
        <v>295</v>
      </c>
      <c r="C40" s="6" t="s">
        <v>296</v>
      </c>
      <c r="D40" s="6" t="s">
        <v>91</v>
      </c>
      <c r="E40" s="6">
        <v>10</v>
      </c>
      <c r="F40" s="7">
        <f t="shared" si="13"/>
        <v>113.04347826086956</v>
      </c>
      <c r="G40" s="6"/>
      <c r="H40" s="7">
        <f t="shared" si="2"/>
        <v>0</v>
      </c>
      <c r="I40" s="6"/>
      <c r="J40" s="7">
        <f t="shared" si="11"/>
        <v>0</v>
      </c>
      <c r="K40" s="6"/>
      <c r="L40" s="7">
        <f t="shared" si="15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14"/>
        <v>113.04347826086956</v>
      </c>
      <c r="T40" s="6">
        <f t="shared" si="8"/>
        <v>1</v>
      </c>
      <c r="U40" s="6">
        <f t="shared" si="9"/>
        <v>30</v>
      </c>
      <c r="V40" s="17">
        <f t="shared" si="10"/>
        <v>0.14285714285714285</v>
      </c>
    </row>
    <row r="41" spans="1:22" x14ac:dyDescent="0.3">
      <c r="A41" s="5">
        <f t="shared" si="0"/>
        <v>31</v>
      </c>
      <c r="B41" s="6" t="s">
        <v>373</v>
      </c>
      <c r="C41" s="6" t="s">
        <v>374</v>
      </c>
      <c r="D41" s="6" t="s">
        <v>366</v>
      </c>
      <c r="E41" s="6"/>
      <c r="F41" s="7">
        <f t="shared" si="13"/>
        <v>0</v>
      </c>
      <c r="G41" s="6">
        <v>20</v>
      </c>
      <c r="H41" s="7">
        <f t="shared" si="2"/>
        <v>18.181818181818183</v>
      </c>
      <c r="I41" s="6"/>
      <c r="J41" s="7">
        <f t="shared" si="11"/>
        <v>0</v>
      </c>
      <c r="K41" s="6"/>
      <c r="L41" s="7">
        <f t="shared" si="15"/>
        <v>0</v>
      </c>
      <c r="M41" s="6">
        <v>22</v>
      </c>
      <c r="N41" s="7">
        <f t="shared" si="5"/>
        <v>42.857142857142854</v>
      </c>
      <c r="O41" s="6">
        <v>23</v>
      </c>
      <c r="P41" s="7">
        <f t="shared" si="6"/>
        <v>44.444444444444443</v>
      </c>
      <c r="Q41" s="6"/>
      <c r="R41" s="7">
        <f t="shared" si="7"/>
        <v>0</v>
      </c>
      <c r="S41" s="8">
        <f t="shared" si="14"/>
        <v>105.48340548340548</v>
      </c>
      <c r="T41" s="6">
        <f t="shared" si="8"/>
        <v>3</v>
      </c>
      <c r="U41" s="6">
        <f t="shared" si="9"/>
        <v>31</v>
      </c>
      <c r="V41" s="17">
        <f t="shared" si="10"/>
        <v>0.42857142857142855</v>
      </c>
    </row>
    <row r="42" spans="1:22" x14ac:dyDescent="0.3">
      <c r="A42" s="5">
        <f t="shared" si="0"/>
        <v>32</v>
      </c>
      <c r="B42" s="6" t="s">
        <v>299</v>
      </c>
      <c r="C42" s="6" t="s">
        <v>300</v>
      </c>
      <c r="D42" s="6" t="s">
        <v>103</v>
      </c>
      <c r="E42" s="6">
        <v>12</v>
      </c>
      <c r="F42" s="7">
        <f t="shared" si="13"/>
        <v>95.652173913043484</v>
      </c>
      <c r="G42" s="6"/>
      <c r="H42" s="7">
        <f t="shared" si="2"/>
        <v>0</v>
      </c>
      <c r="I42" s="6"/>
      <c r="J42" s="7">
        <f t="shared" si="11"/>
        <v>0</v>
      </c>
      <c r="K42" s="6"/>
      <c r="L42" s="7">
        <f t="shared" si="15"/>
        <v>0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14"/>
        <v>95.652173913043484</v>
      </c>
      <c r="T42" s="6">
        <f t="shared" si="8"/>
        <v>1</v>
      </c>
      <c r="U42" s="6">
        <f t="shared" si="9"/>
        <v>32</v>
      </c>
      <c r="V42" s="17">
        <f t="shared" si="10"/>
        <v>0.14285714285714285</v>
      </c>
    </row>
    <row r="43" spans="1:22" x14ac:dyDescent="0.3">
      <c r="A43" s="5">
        <f t="shared" si="0"/>
        <v>33</v>
      </c>
      <c r="B43" s="6" t="s">
        <v>372</v>
      </c>
      <c r="C43" s="6" t="s">
        <v>115</v>
      </c>
      <c r="D43" s="6" t="s">
        <v>90</v>
      </c>
      <c r="E43" s="6"/>
      <c r="F43" s="7">
        <f t="shared" si="13"/>
        <v>0</v>
      </c>
      <c r="G43" s="6">
        <v>19</v>
      </c>
      <c r="H43" s="7">
        <f t="shared" si="2"/>
        <v>27.272727272727273</v>
      </c>
      <c r="I43" s="6"/>
      <c r="J43" s="7">
        <f t="shared" si="11"/>
        <v>0</v>
      </c>
      <c r="K43" s="6">
        <v>22</v>
      </c>
      <c r="L43" s="7">
        <f t="shared" si="15"/>
        <v>37.037037037037038</v>
      </c>
      <c r="M43" s="6">
        <v>24</v>
      </c>
      <c r="N43" s="7">
        <f t="shared" si="5"/>
        <v>28.571428571428573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14"/>
        <v>92.881192881192888</v>
      </c>
      <c r="T43" s="6">
        <f t="shared" si="8"/>
        <v>3</v>
      </c>
      <c r="U43" s="6">
        <f t="shared" si="9"/>
        <v>33</v>
      </c>
      <c r="V43" s="17">
        <f t="shared" si="10"/>
        <v>0.42857142857142855</v>
      </c>
    </row>
    <row r="44" spans="1:22" x14ac:dyDescent="0.3">
      <c r="A44" s="5">
        <f t="shared" si="0"/>
        <v>34</v>
      </c>
      <c r="B44" s="6" t="s">
        <v>582</v>
      </c>
      <c r="C44" s="6" t="s">
        <v>147</v>
      </c>
      <c r="D44" s="6" t="s">
        <v>583</v>
      </c>
      <c r="E44" s="6"/>
      <c r="F44" s="7">
        <f t="shared" si="13"/>
        <v>0</v>
      </c>
      <c r="G44" s="6"/>
      <c r="H44" s="7">
        <f t="shared" si="2"/>
        <v>0</v>
      </c>
      <c r="I44" s="6"/>
      <c r="J44" s="7">
        <f t="shared" si="11"/>
        <v>0</v>
      </c>
      <c r="K44" s="6"/>
      <c r="L44" s="7">
        <f t="shared" si="15"/>
        <v>0</v>
      </c>
      <c r="M44" s="6"/>
      <c r="N44" s="7">
        <f t="shared" si="5"/>
        <v>0</v>
      </c>
      <c r="O44" s="6">
        <v>19</v>
      </c>
      <c r="P44" s="7">
        <f t="shared" si="6"/>
        <v>88.888888888888886</v>
      </c>
      <c r="Q44" s="6"/>
      <c r="R44" s="7">
        <f t="shared" si="7"/>
        <v>0</v>
      </c>
      <c r="S44" s="8">
        <f t="shared" si="14"/>
        <v>88.888888888888886</v>
      </c>
      <c r="T44" s="6">
        <f t="shared" si="8"/>
        <v>1</v>
      </c>
      <c r="U44" s="6">
        <f t="shared" si="9"/>
        <v>34</v>
      </c>
      <c r="V44" s="17">
        <f t="shared" si="10"/>
        <v>0.14285714285714285</v>
      </c>
    </row>
    <row r="45" spans="1:22" x14ac:dyDescent="0.3">
      <c r="A45" s="5">
        <f t="shared" si="0"/>
        <v>35</v>
      </c>
      <c r="B45" s="6" t="s">
        <v>302</v>
      </c>
      <c r="C45" s="6" t="s">
        <v>255</v>
      </c>
      <c r="D45" s="6" t="s">
        <v>90</v>
      </c>
      <c r="E45" s="6">
        <v>14</v>
      </c>
      <c r="F45" s="7">
        <f t="shared" si="13"/>
        <v>78.260869565217391</v>
      </c>
      <c r="G45" s="6"/>
      <c r="H45" s="7">
        <f t="shared" si="2"/>
        <v>0</v>
      </c>
      <c r="I45" s="6"/>
      <c r="J45" s="7">
        <f t="shared" si="11"/>
        <v>0</v>
      </c>
      <c r="K45" s="6"/>
      <c r="L45" s="7">
        <f t="shared" si="15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14"/>
        <v>78.260869565217391</v>
      </c>
      <c r="T45" s="6">
        <f t="shared" si="8"/>
        <v>1</v>
      </c>
      <c r="U45" s="6">
        <f t="shared" si="9"/>
        <v>35</v>
      </c>
      <c r="V45" s="17">
        <f t="shared" si="10"/>
        <v>0.14285714285714285</v>
      </c>
    </row>
    <row r="46" spans="1:22" x14ac:dyDescent="0.3">
      <c r="A46" s="5">
        <f t="shared" si="0"/>
        <v>36</v>
      </c>
      <c r="B46" s="6" t="s">
        <v>485</v>
      </c>
      <c r="C46" s="6" t="s">
        <v>369</v>
      </c>
      <c r="D46" s="6" t="s">
        <v>117</v>
      </c>
      <c r="E46" s="6"/>
      <c r="F46" s="7">
        <f t="shared" si="13"/>
        <v>0</v>
      </c>
      <c r="G46" s="6"/>
      <c r="H46" s="7">
        <f t="shared" si="2"/>
        <v>0</v>
      </c>
      <c r="I46" s="6"/>
      <c r="J46" s="7">
        <f t="shared" si="11"/>
        <v>0</v>
      </c>
      <c r="K46" s="6">
        <v>22</v>
      </c>
      <c r="L46" s="7">
        <f t="shared" si="15"/>
        <v>37.037037037037038</v>
      </c>
      <c r="M46" s="6">
        <v>26</v>
      </c>
      <c r="N46" s="7">
        <f t="shared" si="5"/>
        <v>14.285714285714286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14"/>
        <v>51.322751322751323</v>
      </c>
      <c r="T46" s="6">
        <f t="shared" si="8"/>
        <v>2</v>
      </c>
      <c r="U46" s="6">
        <f t="shared" si="9"/>
        <v>36</v>
      </c>
      <c r="V46" s="17">
        <f t="shared" si="10"/>
        <v>0.2857142857142857</v>
      </c>
    </row>
    <row r="47" spans="1:22" x14ac:dyDescent="0.3">
      <c r="A47" s="5">
        <f t="shared" si="0"/>
        <v>37</v>
      </c>
      <c r="B47" s="6" t="s">
        <v>584</v>
      </c>
      <c r="C47" s="6" t="s">
        <v>376</v>
      </c>
      <c r="D47" s="6" t="s">
        <v>583</v>
      </c>
      <c r="E47" s="6"/>
      <c r="F47" s="7">
        <f t="shared" si="13"/>
        <v>0</v>
      </c>
      <c r="G47" s="6"/>
      <c r="H47" s="7">
        <f t="shared" si="2"/>
        <v>0</v>
      </c>
      <c r="I47" s="6"/>
      <c r="J47" s="7">
        <f t="shared" si="11"/>
        <v>0</v>
      </c>
      <c r="K47" s="6"/>
      <c r="L47" s="7">
        <f t="shared" si="15"/>
        <v>0</v>
      </c>
      <c r="M47" s="6"/>
      <c r="N47" s="7">
        <f t="shared" si="5"/>
        <v>0</v>
      </c>
      <c r="O47" s="6">
        <v>26</v>
      </c>
      <c r="P47" s="7">
        <f t="shared" si="6"/>
        <v>11.111111111111111</v>
      </c>
      <c r="Q47" s="6"/>
      <c r="R47" s="7">
        <f t="shared" si="7"/>
        <v>0</v>
      </c>
      <c r="S47" s="8">
        <f t="shared" si="14"/>
        <v>11.111111111111111</v>
      </c>
      <c r="T47" s="6">
        <f t="shared" si="8"/>
        <v>1</v>
      </c>
      <c r="U47" s="6">
        <f t="shared" si="9"/>
        <v>37</v>
      </c>
      <c r="V47" s="17">
        <f t="shared" si="10"/>
        <v>0.14285714285714285</v>
      </c>
    </row>
    <row r="48" spans="1:22" x14ac:dyDescent="0.3">
      <c r="A48" s="5">
        <f t="shared" si="0"/>
        <v>38</v>
      </c>
      <c r="B48" s="6" t="s">
        <v>375</v>
      </c>
      <c r="C48" s="6" t="s">
        <v>376</v>
      </c>
      <c r="D48" s="6" t="s">
        <v>116</v>
      </c>
      <c r="E48" s="6"/>
      <c r="F48" s="7">
        <f t="shared" si="13"/>
        <v>0</v>
      </c>
      <c r="G48" s="6">
        <v>21</v>
      </c>
      <c r="H48" s="7">
        <f t="shared" si="2"/>
        <v>9.0909090909090917</v>
      </c>
      <c r="I48" s="6"/>
      <c r="J48" s="7">
        <f t="shared" si="11"/>
        <v>0</v>
      </c>
      <c r="K48" s="6"/>
      <c r="L48" s="7">
        <f t="shared" si="15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14"/>
        <v>9.0909090909090917</v>
      </c>
      <c r="T48" s="6">
        <f t="shared" si="8"/>
        <v>1</v>
      </c>
      <c r="U48" s="6">
        <f t="shared" si="9"/>
        <v>38</v>
      </c>
      <c r="V48" s="17">
        <f t="shared" si="10"/>
        <v>0.14285714285714285</v>
      </c>
    </row>
    <row r="49" spans="1:22" x14ac:dyDescent="0.3">
      <c r="A49" s="5">
        <f t="shared" si="0"/>
        <v>39</v>
      </c>
      <c r="B49" s="6" t="s">
        <v>567</v>
      </c>
      <c r="C49" s="6" t="s">
        <v>568</v>
      </c>
      <c r="D49" s="6" t="s">
        <v>117</v>
      </c>
      <c r="E49" s="6"/>
      <c r="F49" s="7">
        <f t="shared" si="13"/>
        <v>0</v>
      </c>
      <c r="G49" s="6"/>
      <c r="H49" s="7">
        <f t="shared" si="2"/>
        <v>0</v>
      </c>
      <c r="I49" s="6"/>
      <c r="J49" s="7">
        <f t="shared" si="11"/>
        <v>0</v>
      </c>
      <c r="K49" s="6"/>
      <c r="L49" s="7">
        <f t="shared" si="15"/>
        <v>0</v>
      </c>
      <c r="M49" s="6">
        <v>28</v>
      </c>
      <c r="N49" s="7">
        <f>7/2</f>
        <v>3.5</v>
      </c>
      <c r="O49" s="6">
        <v>27</v>
      </c>
      <c r="P49" s="7">
        <f>11/2</f>
        <v>5.5</v>
      </c>
      <c r="Q49" s="6"/>
      <c r="R49" s="7">
        <f t="shared" si="7"/>
        <v>0</v>
      </c>
      <c r="S49" s="8">
        <f t="shared" si="14"/>
        <v>9</v>
      </c>
      <c r="T49" s="6">
        <f t="shared" si="8"/>
        <v>2</v>
      </c>
      <c r="U49" s="6">
        <f t="shared" si="9"/>
        <v>39</v>
      </c>
      <c r="V49" s="17">
        <f t="shared" si="10"/>
        <v>0.2857142857142857</v>
      </c>
    </row>
    <row r="50" spans="1:22" x14ac:dyDescent="0.3">
      <c r="A50" s="5">
        <f t="shared" si="0"/>
        <v>40</v>
      </c>
      <c r="B50" s="6" t="s">
        <v>309</v>
      </c>
      <c r="C50" s="6" t="s">
        <v>310</v>
      </c>
      <c r="D50" s="6" t="s">
        <v>242</v>
      </c>
      <c r="E50" s="6">
        <v>22</v>
      </c>
      <c r="F50" s="7">
        <f t="shared" si="13"/>
        <v>8.695652173913043</v>
      </c>
      <c r="G50" s="6"/>
      <c r="H50" s="7">
        <f t="shared" si="2"/>
        <v>0</v>
      </c>
      <c r="I50" s="6"/>
      <c r="J50" s="7">
        <f t="shared" si="11"/>
        <v>0</v>
      </c>
      <c r="K50" s="6"/>
      <c r="L50" s="7">
        <f t="shared" si="15"/>
        <v>0</v>
      </c>
      <c r="M50" s="6"/>
      <c r="N50" s="7">
        <f>IF(M50=0,,($M$9-M50)*$M$7*100/$M$9)</f>
        <v>0</v>
      </c>
      <c r="O50" s="6"/>
      <c r="P50" s="7">
        <f>IF(O50=0,,($O$9-O50)*$O$7*100/$O$9)</f>
        <v>0</v>
      </c>
      <c r="Q50" s="6"/>
      <c r="R50" s="7">
        <f t="shared" si="7"/>
        <v>0</v>
      </c>
      <c r="S50" s="8">
        <f t="shared" si="14"/>
        <v>8.695652173913043</v>
      </c>
      <c r="T50" s="6">
        <f t="shared" si="8"/>
        <v>1</v>
      </c>
      <c r="U50" s="6">
        <f t="shared" si="9"/>
        <v>40</v>
      </c>
      <c r="V50" s="17">
        <f t="shared" si="10"/>
        <v>0.14285714285714285</v>
      </c>
    </row>
    <row r="51" spans="1:22" x14ac:dyDescent="0.3">
      <c r="A51" s="5">
        <f t="shared" si="0"/>
        <v>41</v>
      </c>
      <c r="B51" s="6" t="s">
        <v>566</v>
      </c>
      <c r="C51" s="6" t="s">
        <v>115</v>
      </c>
      <c r="D51" s="6" t="s">
        <v>366</v>
      </c>
      <c r="E51" s="6"/>
      <c r="F51" s="7">
        <f t="shared" si="13"/>
        <v>0</v>
      </c>
      <c r="G51" s="6"/>
      <c r="H51" s="7">
        <f t="shared" si="2"/>
        <v>0</v>
      </c>
      <c r="I51" s="6"/>
      <c r="J51" s="7">
        <f t="shared" si="11"/>
        <v>0</v>
      </c>
      <c r="K51" s="6"/>
      <c r="L51" s="7">
        <f t="shared" si="15"/>
        <v>0</v>
      </c>
      <c r="M51" s="6">
        <v>27</v>
      </c>
      <c r="N51" s="7">
        <f>IF(M51=0,,($M$9-M51)*$M$7*100/$M$9)</f>
        <v>7.1428571428571432</v>
      </c>
      <c r="O51" s="6"/>
      <c r="P51" s="7">
        <f>IF(O51=0,,($O$9-O51)*$O$7*100/$O$9)</f>
        <v>0</v>
      </c>
      <c r="Q51" s="6"/>
      <c r="R51" s="7">
        <f t="shared" si="7"/>
        <v>0</v>
      </c>
      <c r="S51" s="8">
        <f t="shared" si="14"/>
        <v>7.1428571428571432</v>
      </c>
      <c r="T51" s="6">
        <f t="shared" si="8"/>
        <v>1</v>
      </c>
      <c r="U51" s="6">
        <f t="shared" si="9"/>
        <v>41</v>
      </c>
      <c r="V51" s="17">
        <f t="shared" si="10"/>
        <v>0.14285714285714285</v>
      </c>
    </row>
    <row r="52" spans="1:22" x14ac:dyDescent="0.3">
      <c r="A52" s="5">
        <f t="shared" si="0"/>
        <v>42</v>
      </c>
      <c r="B52" s="6" t="s">
        <v>377</v>
      </c>
      <c r="C52" s="6" t="s">
        <v>378</v>
      </c>
      <c r="D52" s="6" t="s">
        <v>100</v>
      </c>
      <c r="E52" s="6"/>
      <c r="F52" s="7">
        <f t="shared" si="13"/>
        <v>0</v>
      </c>
      <c r="G52" s="6">
        <v>22</v>
      </c>
      <c r="H52" s="7">
        <v>4.5</v>
      </c>
      <c r="I52" s="6"/>
      <c r="J52" s="7">
        <f t="shared" si="11"/>
        <v>0</v>
      </c>
      <c r="K52" s="6"/>
      <c r="L52" s="7">
        <f t="shared" si="15"/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6"/>
      <c r="R52" s="7">
        <f t="shared" si="7"/>
        <v>0</v>
      </c>
      <c r="S52" s="8">
        <f t="shared" si="14"/>
        <v>4.5</v>
      </c>
      <c r="T52" s="6">
        <f t="shared" si="8"/>
        <v>1</v>
      </c>
      <c r="U52" s="6">
        <f t="shared" si="9"/>
        <v>42</v>
      </c>
      <c r="V52" s="17">
        <f t="shared" si="10"/>
        <v>0.14285714285714285</v>
      </c>
    </row>
    <row r="53" spans="1:22" x14ac:dyDescent="0.3">
      <c r="A53" s="29" t="s">
        <v>18</v>
      </c>
      <c r="B53" s="29"/>
      <c r="C53" s="30"/>
      <c r="E53">
        <f>COUNTA(E11:E52)</f>
        <v>23</v>
      </c>
      <c r="G53">
        <f>COUNTA(G11:G52)</f>
        <v>22</v>
      </c>
      <c r="I53">
        <f>COUNTA(I11:I52)</f>
        <v>12</v>
      </c>
      <c r="K53">
        <f>COUNTA(K11:K52)</f>
        <v>27</v>
      </c>
      <c r="M53">
        <f>COUNTA(M11:M52)</f>
        <v>28</v>
      </c>
      <c r="O53">
        <f>COUNTA(O11:O52)</f>
        <v>27</v>
      </c>
      <c r="Q53">
        <f>COUNTA(Q11:Q52)</f>
        <v>12</v>
      </c>
    </row>
    <row r="54" spans="1:22" x14ac:dyDescent="0.3">
      <c r="A54" s="32" t="s">
        <v>40</v>
      </c>
      <c r="B54" s="32"/>
      <c r="C54" s="32"/>
      <c r="E54" s="16">
        <f>E53/$G$2</f>
        <v>0.54761904761904767</v>
      </c>
      <c r="G54" s="16">
        <f>G53/$G$2</f>
        <v>0.52380952380952384</v>
      </c>
      <c r="I54" s="16">
        <f>I53/$G$2</f>
        <v>0.2857142857142857</v>
      </c>
      <c r="K54" s="16">
        <f>K53/$G$2</f>
        <v>0.6428571428571429</v>
      </c>
      <c r="M54" s="16">
        <f>M53/$G$2</f>
        <v>0.66666666666666663</v>
      </c>
      <c r="O54" s="16">
        <f>O53/$G$2</f>
        <v>0.6428571428571429</v>
      </c>
      <c r="Q54" s="16">
        <f>Q53/$G$2</f>
        <v>0.2857142857142857</v>
      </c>
    </row>
  </sheetData>
  <sortState xmlns:xlrd2="http://schemas.microsoft.com/office/spreadsheetml/2017/richdata2" ref="A11:V52">
    <sortCondition descending="1" ref="S11:S52"/>
  </sortState>
  <mergeCells count="33">
    <mergeCell ref="A53:C53"/>
    <mergeCell ref="E2:F2"/>
    <mergeCell ref="E3:F3"/>
    <mergeCell ref="A54:C54"/>
    <mergeCell ref="E9:F9"/>
    <mergeCell ref="E8:F8"/>
    <mergeCell ref="E7:F7"/>
    <mergeCell ref="G9:H9"/>
    <mergeCell ref="I9:J9"/>
    <mergeCell ref="K9:L9"/>
    <mergeCell ref="M9:N9"/>
    <mergeCell ref="Q9:R9"/>
    <mergeCell ref="O9:P9"/>
    <mergeCell ref="G8:H8"/>
    <mergeCell ref="I8:J8"/>
    <mergeCell ref="K8:L8"/>
    <mergeCell ref="M8:N8"/>
    <mergeCell ref="Q8:R8"/>
    <mergeCell ref="O8:P8"/>
    <mergeCell ref="G7:H7"/>
    <mergeCell ref="I7:J7"/>
    <mergeCell ref="K7:L7"/>
    <mergeCell ref="M7:N7"/>
    <mergeCell ref="Q7:R7"/>
    <mergeCell ref="O7:P7"/>
    <mergeCell ref="A1:S1"/>
    <mergeCell ref="E6:F6"/>
    <mergeCell ref="G6:H6"/>
    <mergeCell ref="I6:J6"/>
    <mergeCell ref="K6:L6"/>
    <mergeCell ref="M6:N6"/>
    <mergeCell ref="Q6:R6"/>
    <mergeCell ref="O6:P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41"/>
  <sheetViews>
    <sheetView tabSelected="1" zoomScale="85" zoomScaleNormal="85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J38" sqref="J38"/>
    </sheetView>
  </sheetViews>
  <sheetFormatPr baseColWidth="10" defaultRowHeight="14.4" x14ac:dyDescent="0.3"/>
  <cols>
    <col min="1" max="1" width="18.33203125" bestFit="1" customWidth="1"/>
    <col min="2" max="2" width="25.44140625" customWidth="1"/>
    <col min="4" max="4" width="16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4" width="11.44140625" customWidth="1"/>
    <col min="15" max="15" width="16.88671875" customWidth="1"/>
    <col min="16" max="16" width="17.44140625" customWidth="1"/>
    <col min="17" max="17" width="16.88671875" customWidth="1"/>
    <col min="18" max="18" width="17.44140625" customWidth="1"/>
    <col min="20" max="20" width="12.33203125" bestFit="1" customWidth="1"/>
    <col min="21" max="21" width="18.33203125" bestFit="1" customWidth="1"/>
    <col min="22" max="22" width="19.6640625" bestFit="1" customWidth="1"/>
  </cols>
  <sheetData>
    <row r="1" spans="1:22" ht="31.2" x14ac:dyDescent="0.6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2" x14ac:dyDescent="0.3">
      <c r="E2" s="33" t="s">
        <v>36</v>
      </c>
      <c r="F2" s="33"/>
      <c r="G2" s="15">
        <f>COUNTA(B11:B30)</f>
        <v>19</v>
      </c>
    </row>
    <row r="3" spans="1:22" x14ac:dyDescent="0.3">
      <c r="B3" s="2"/>
      <c r="E3" s="33" t="s">
        <v>38</v>
      </c>
      <c r="F3" s="33"/>
      <c r="G3" s="15">
        <f>COUNTA(E8:R8)</f>
        <v>7</v>
      </c>
    </row>
    <row r="4" spans="1:22" x14ac:dyDescent="0.3">
      <c r="B4" s="2"/>
      <c r="C4" s="3"/>
    </row>
    <row r="6" spans="1:22" x14ac:dyDescent="0.3">
      <c r="D6" s="1" t="s">
        <v>0</v>
      </c>
      <c r="E6" s="28" t="s">
        <v>34</v>
      </c>
      <c r="F6" s="28"/>
      <c r="G6" s="28" t="s">
        <v>31</v>
      </c>
      <c r="H6" s="28"/>
      <c r="I6" s="28" t="s">
        <v>15</v>
      </c>
      <c r="J6" s="28"/>
      <c r="K6" s="28" t="s">
        <v>478</v>
      </c>
      <c r="L6" s="28"/>
      <c r="M6" s="28" t="s">
        <v>33</v>
      </c>
      <c r="N6" s="28"/>
      <c r="O6" s="28" t="s">
        <v>576</v>
      </c>
      <c r="P6" s="28"/>
      <c r="Q6" s="28" t="s">
        <v>50</v>
      </c>
      <c r="R6" s="28"/>
    </row>
    <row r="7" spans="1:22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  <c r="K7" s="25">
        <v>2</v>
      </c>
      <c r="L7" s="26"/>
      <c r="M7" s="25">
        <v>2</v>
      </c>
      <c r="N7" s="26"/>
      <c r="O7" s="25">
        <v>3</v>
      </c>
      <c r="P7" s="26"/>
      <c r="Q7" s="25">
        <v>6</v>
      </c>
      <c r="R7" s="26"/>
    </row>
    <row r="8" spans="1:22" x14ac:dyDescent="0.3">
      <c r="D8" s="1" t="s">
        <v>1</v>
      </c>
      <c r="E8" s="31">
        <v>45214</v>
      </c>
      <c r="F8" s="31"/>
      <c r="G8" s="34">
        <v>45241</v>
      </c>
      <c r="H8" s="35"/>
      <c r="I8" s="34">
        <v>45248</v>
      </c>
      <c r="J8" s="35"/>
      <c r="K8" s="31">
        <v>45333</v>
      </c>
      <c r="L8" s="31"/>
      <c r="M8" s="31">
        <v>45389</v>
      </c>
      <c r="N8" s="31"/>
      <c r="O8" s="31">
        <v>45438</v>
      </c>
      <c r="P8" s="31"/>
      <c r="Q8" s="31">
        <v>45465</v>
      </c>
      <c r="R8" s="31"/>
    </row>
    <row r="9" spans="1:22" x14ac:dyDescent="0.3">
      <c r="D9" s="1" t="s">
        <v>2</v>
      </c>
      <c r="E9" s="28">
        <v>13</v>
      </c>
      <c r="F9" s="28"/>
      <c r="G9" s="25">
        <v>7</v>
      </c>
      <c r="H9" s="26"/>
      <c r="I9" s="25">
        <v>14</v>
      </c>
      <c r="J9" s="26"/>
      <c r="K9" s="28">
        <v>12</v>
      </c>
      <c r="L9" s="28"/>
      <c r="M9" s="28">
        <v>10</v>
      </c>
      <c r="N9" s="28"/>
      <c r="O9" s="28">
        <v>18</v>
      </c>
      <c r="P9" s="28"/>
      <c r="Q9" s="28">
        <v>104</v>
      </c>
      <c r="R9" s="28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39</v>
      </c>
      <c r="U10" s="1" t="s">
        <v>9</v>
      </c>
      <c r="V10" s="1" t="s">
        <v>41</v>
      </c>
    </row>
    <row r="11" spans="1:22" x14ac:dyDescent="0.3">
      <c r="A11" s="5">
        <f t="shared" ref="A11:A29" si="0">U11</f>
        <v>1</v>
      </c>
      <c r="B11" s="6" t="s">
        <v>162</v>
      </c>
      <c r="C11" s="6" t="s">
        <v>163</v>
      </c>
      <c r="D11" s="6" t="s">
        <v>100</v>
      </c>
      <c r="E11" s="6">
        <v>5</v>
      </c>
      <c r="F11" s="7">
        <f t="shared" ref="F11:F25" si="1">IF(E11=0,,($E$9-E11)*$E$7*100/$E$9)</f>
        <v>123.07692307692308</v>
      </c>
      <c r="G11" s="6">
        <v>1</v>
      </c>
      <c r="H11" s="20">
        <f t="shared" ref="H11:H17" si="2">IF(G11=0,,($G$9-G11)*$G$7*100/$G$9)</f>
        <v>171.42857142857142</v>
      </c>
      <c r="I11" s="6">
        <v>5</v>
      </c>
      <c r="J11" s="7">
        <f t="shared" ref="J11:J17" si="3">IF(I11=0,,($I$9-I11)*$I$7*100/$I$9)</f>
        <v>128.57142857142858</v>
      </c>
      <c r="K11" s="6">
        <v>1</v>
      </c>
      <c r="L11" s="20">
        <f>IF(K11=0,,($K$9-K11)*$K$7*100/$K$9)</f>
        <v>183.33333333333334</v>
      </c>
      <c r="M11" s="6">
        <v>2</v>
      </c>
      <c r="N11" s="7">
        <f t="shared" ref="N11:N24" si="4">IF(M11=0,,($M$9-M11)*$M$7*100/$M$9)</f>
        <v>160</v>
      </c>
      <c r="O11" s="6">
        <v>1</v>
      </c>
      <c r="P11" s="20">
        <f t="shared" ref="P11:P29" si="5">IF(O11=0,,($O$9-O11)*$O$7*100/$O$9)</f>
        <v>283.33333333333331</v>
      </c>
      <c r="Q11" s="6">
        <v>17</v>
      </c>
      <c r="R11" s="20">
        <f t="shared" ref="R11:R29" si="6">IF(Q11=0,,($Q$9-Q11)*$Q$7*100/$Q$9)</f>
        <v>501.92307692307691</v>
      </c>
      <c r="S11" s="8">
        <f>H11+P11+L11+R11</f>
        <v>1140.018315018315</v>
      </c>
      <c r="T11" s="6">
        <f t="shared" ref="T11:T29" si="7">COUNTA(E11,G11,I11,K11,M11,Q11,O11)</f>
        <v>7</v>
      </c>
      <c r="U11" s="6">
        <f t="shared" ref="U11:U29" si="8">ROW(B11)-10</f>
        <v>1</v>
      </c>
      <c r="V11" s="19">
        <f t="shared" ref="V11:V29" si="9">T11/$G$3</f>
        <v>1</v>
      </c>
    </row>
    <row r="12" spans="1:22" x14ac:dyDescent="0.3">
      <c r="A12" s="5">
        <f t="shared" si="0"/>
        <v>2</v>
      </c>
      <c r="B12" s="6" t="s">
        <v>172</v>
      </c>
      <c r="C12" s="6" t="s">
        <v>173</v>
      </c>
      <c r="D12" s="6" t="s">
        <v>108</v>
      </c>
      <c r="E12" s="6">
        <v>1</v>
      </c>
      <c r="F12" s="20">
        <f t="shared" si="1"/>
        <v>184.61538461538461</v>
      </c>
      <c r="G12" s="6"/>
      <c r="H12" s="7">
        <f t="shared" si="2"/>
        <v>0</v>
      </c>
      <c r="I12" s="6">
        <v>4</v>
      </c>
      <c r="J12" s="20">
        <f t="shared" si="3"/>
        <v>142.85714285714286</v>
      </c>
      <c r="K12" s="6">
        <v>3</v>
      </c>
      <c r="L12" s="20">
        <f>IF(K12=0,,($K$9-K12)*$K$7*100/$K$9)</f>
        <v>150</v>
      </c>
      <c r="M12" s="6">
        <v>3</v>
      </c>
      <c r="N12" s="7">
        <f t="shared" si="4"/>
        <v>140</v>
      </c>
      <c r="O12" s="6">
        <v>3</v>
      </c>
      <c r="P12" s="20">
        <f t="shared" si="5"/>
        <v>250</v>
      </c>
      <c r="Q12" s="6">
        <v>12</v>
      </c>
      <c r="R12" s="20">
        <f t="shared" si="6"/>
        <v>530.76923076923072</v>
      </c>
      <c r="S12" s="8">
        <f>P12+L12+R12+F12</f>
        <v>1115.3846153846152</v>
      </c>
      <c r="T12" s="6">
        <f t="shared" si="7"/>
        <v>6</v>
      </c>
      <c r="U12" s="6">
        <f t="shared" si="8"/>
        <v>2</v>
      </c>
      <c r="V12" s="19">
        <f t="shared" si="9"/>
        <v>0.8571428571428571</v>
      </c>
    </row>
    <row r="13" spans="1:22" x14ac:dyDescent="0.3">
      <c r="A13" s="5">
        <f t="shared" si="0"/>
        <v>3</v>
      </c>
      <c r="B13" s="6" t="s">
        <v>174</v>
      </c>
      <c r="C13" s="6" t="s">
        <v>175</v>
      </c>
      <c r="D13" s="6" t="s">
        <v>108</v>
      </c>
      <c r="E13" s="6">
        <v>3</v>
      </c>
      <c r="F13" s="7">
        <f t="shared" si="1"/>
        <v>153.84615384615384</v>
      </c>
      <c r="G13" s="6"/>
      <c r="H13" s="7">
        <f t="shared" si="2"/>
        <v>0</v>
      </c>
      <c r="I13" s="6">
        <v>3</v>
      </c>
      <c r="J13" s="20">
        <f t="shared" si="3"/>
        <v>157.14285714285714</v>
      </c>
      <c r="K13" s="6">
        <v>5</v>
      </c>
      <c r="L13" s="7">
        <f>IF(K13=0,,($K$9-K13)*$K$7*100/$K$9)</f>
        <v>116.66666666666667</v>
      </c>
      <c r="M13" s="6">
        <v>1</v>
      </c>
      <c r="N13" s="20">
        <f t="shared" si="4"/>
        <v>180</v>
      </c>
      <c r="O13" s="6">
        <v>5</v>
      </c>
      <c r="P13" s="20">
        <f t="shared" si="5"/>
        <v>216.66666666666666</v>
      </c>
      <c r="Q13" s="6">
        <v>7</v>
      </c>
      <c r="R13" s="20">
        <f t="shared" si="6"/>
        <v>559.61538461538464</v>
      </c>
      <c r="S13" s="8">
        <f>P13+N13+J13+R13</f>
        <v>1113.4249084249084</v>
      </c>
      <c r="T13" s="6">
        <f t="shared" si="7"/>
        <v>6</v>
      </c>
      <c r="U13" s="6">
        <f t="shared" si="8"/>
        <v>3</v>
      </c>
      <c r="V13" s="19">
        <f t="shared" si="9"/>
        <v>0.8571428571428571</v>
      </c>
    </row>
    <row r="14" spans="1:22" x14ac:dyDescent="0.3">
      <c r="A14" s="5">
        <f t="shared" si="0"/>
        <v>4</v>
      </c>
      <c r="B14" s="6" t="s">
        <v>271</v>
      </c>
      <c r="C14" s="6" t="s">
        <v>169</v>
      </c>
      <c r="D14" s="6" t="s">
        <v>142</v>
      </c>
      <c r="E14" s="6">
        <v>6</v>
      </c>
      <c r="F14" s="7">
        <f t="shared" si="1"/>
        <v>107.69230769230769</v>
      </c>
      <c r="G14" s="6">
        <v>2</v>
      </c>
      <c r="H14" s="20">
        <f t="shared" si="2"/>
        <v>142.85714285714286</v>
      </c>
      <c r="I14" s="6"/>
      <c r="J14" s="7">
        <f t="shared" si="3"/>
        <v>0</v>
      </c>
      <c r="K14" s="6">
        <v>2</v>
      </c>
      <c r="L14" s="20">
        <f>IF(K14=0,,($K$9-K14)*$K$7*100/$K$9)</f>
        <v>166.66666666666666</v>
      </c>
      <c r="M14" s="6">
        <v>3</v>
      </c>
      <c r="N14" s="7">
        <f t="shared" si="4"/>
        <v>140</v>
      </c>
      <c r="O14" s="6">
        <v>3</v>
      </c>
      <c r="P14" s="20">
        <f t="shared" si="5"/>
        <v>250</v>
      </c>
      <c r="Q14" s="6">
        <v>20</v>
      </c>
      <c r="R14" s="20">
        <f t="shared" si="6"/>
        <v>484.61538461538464</v>
      </c>
      <c r="S14" s="8">
        <f>P14+R14+L14+H14</f>
        <v>1044.1391941391942</v>
      </c>
      <c r="T14" s="6">
        <f t="shared" si="7"/>
        <v>6</v>
      </c>
      <c r="U14" s="6">
        <f t="shared" si="8"/>
        <v>4</v>
      </c>
      <c r="V14" s="19">
        <f t="shared" si="9"/>
        <v>0.8571428571428571</v>
      </c>
    </row>
    <row r="15" spans="1:22" x14ac:dyDescent="0.3">
      <c r="A15" s="5">
        <f t="shared" si="0"/>
        <v>5</v>
      </c>
      <c r="B15" s="6" t="s">
        <v>156</v>
      </c>
      <c r="C15" s="6" t="s">
        <v>157</v>
      </c>
      <c r="D15" s="6" t="s">
        <v>108</v>
      </c>
      <c r="E15" s="6">
        <v>3</v>
      </c>
      <c r="F15" s="20">
        <f t="shared" si="1"/>
        <v>153.84615384615384</v>
      </c>
      <c r="G15" s="6"/>
      <c r="H15" s="7">
        <f t="shared" si="2"/>
        <v>0</v>
      </c>
      <c r="I15" s="6">
        <v>6</v>
      </c>
      <c r="J15" s="20">
        <f t="shared" si="3"/>
        <v>114.28571428571429</v>
      </c>
      <c r="K15" s="6">
        <v>12</v>
      </c>
      <c r="L15" s="7">
        <f>17/2</f>
        <v>8.5</v>
      </c>
      <c r="M15" s="6">
        <v>6</v>
      </c>
      <c r="N15" s="7">
        <f t="shared" si="4"/>
        <v>80</v>
      </c>
      <c r="O15" s="6">
        <v>12</v>
      </c>
      <c r="P15" s="20">
        <f t="shared" si="5"/>
        <v>100</v>
      </c>
      <c r="Q15" s="6">
        <v>62</v>
      </c>
      <c r="R15" s="20">
        <f t="shared" si="6"/>
        <v>242.30769230769232</v>
      </c>
      <c r="S15" s="8">
        <f>P15+R15+J15+F15</f>
        <v>610.43956043956041</v>
      </c>
      <c r="T15" s="6">
        <f t="shared" si="7"/>
        <v>6</v>
      </c>
      <c r="U15" s="6">
        <f t="shared" si="8"/>
        <v>5</v>
      </c>
      <c r="V15" s="19">
        <f t="shared" si="9"/>
        <v>0.8571428571428571</v>
      </c>
    </row>
    <row r="16" spans="1:22" x14ac:dyDescent="0.3">
      <c r="A16" s="5">
        <f t="shared" si="0"/>
        <v>6</v>
      </c>
      <c r="B16" s="6" t="s">
        <v>269</v>
      </c>
      <c r="C16" s="6" t="s">
        <v>270</v>
      </c>
      <c r="D16" s="6" t="s">
        <v>142</v>
      </c>
      <c r="E16" s="6">
        <v>2</v>
      </c>
      <c r="F16" s="20">
        <f t="shared" si="1"/>
        <v>169.23076923076923</v>
      </c>
      <c r="G16" s="6">
        <v>3</v>
      </c>
      <c r="H16" s="20">
        <f t="shared" si="2"/>
        <v>114.28571428571429</v>
      </c>
      <c r="I16" s="6">
        <v>10</v>
      </c>
      <c r="J16" s="7">
        <f t="shared" si="3"/>
        <v>57.142857142857146</v>
      </c>
      <c r="K16" s="6">
        <v>6</v>
      </c>
      <c r="L16" s="7">
        <f t="shared" ref="L16:L29" si="10">IF(K16=0,,($K$9-K16)*$K$7*100/$K$9)</f>
        <v>100</v>
      </c>
      <c r="M16" s="6">
        <v>5</v>
      </c>
      <c r="N16" s="20">
        <f t="shared" si="4"/>
        <v>100</v>
      </c>
      <c r="O16" s="6">
        <v>6</v>
      </c>
      <c r="P16" s="7">
        <f t="shared" si="5"/>
        <v>200</v>
      </c>
      <c r="Q16" s="6"/>
      <c r="R16" s="7">
        <f t="shared" si="6"/>
        <v>0</v>
      </c>
      <c r="S16" s="8">
        <f>F16+H16+P16+N16</f>
        <v>583.5164835164835</v>
      </c>
      <c r="T16" s="6">
        <f t="shared" si="7"/>
        <v>6</v>
      </c>
      <c r="U16" s="6">
        <f t="shared" si="8"/>
        <v>6</v>
      </c>
      <c r="V16" s="19">
        <f t="shared" si="9"/>
        <v>0.8571428571428571</v>
      </c>
    </row>
    <row r="17" spans="1:22" x14ac:dyDescent="0.3">
      <c r="A17" s="5">
        <f t="shared" si="0"/>
        <v>7</v>
      </c>
      <c r="B17" s="6" t="s">
        <v>239</v>
      </c>
      <c r="C17" s="6" t="s">
        <v>278</v>
      </c>
      <c r="D17" s="6" t="s">
        <v>142</v>
      </c>
      <c r="E17" s="6">
        <v>10</v>
      </c>
      <c r="F17" s="7">
        <f t="shared" si="1"/>
        <v>46.153846153846153</v>
      </c>
      <c r="G17" s="6">
        <v>3</v>
      </c>
      <c r="H17" s="7">
        <f t="shared" si="2"/>
        <v>114.28571428571429</v>
      </c>
      <c r="I17" s="6"/>
      <c r="J17" s="7">
        <f t="shared" si="3"/>
        <v>0</v>
      </c>
      <c r="K17" s="6">
        <v>3</v>
      </c>
      <c r="L17" s="7">
        <f t="shared" si="10"/>
        <v>150</v>
      </c>
      <c r="M17" s="6"/>
      <c r="N17" s="7">
        <f t="shared" si="4"/>
        <v>0</v>
      </c>
      <c r="O17" s="6">
        <v>2</v>
      </c>
      <c r="P17" s="7">
        <f t="shared" si="5"/>
        <v>266.66666666666669</v>
      </c>
      <c r="Q17" s="6"/>
      <c r="R17" s="7">
        <f t="shared" si="6"/>
        <v>0</v>
      </c>
      <c r="S17" s="8">
        <f>R17+P17+N17+L17+J17+H17+F17</f>
        <v>577.10622710622715</v>
      </c>
      <c r="T17" s="6">
        <f t="shared" si="7"/>
        <v>4</v>
      </c>
      <c r="U17" s="6">
        <f t="shared" si="8"/>
        <v>7</v>
      </c>
      <c r="V17" s="19">
        <f t="shared" si="9"/>
        <v>0.5714285714285714</v>
      </c>
    </row>
    <row r="18" spans="1:22" x14ac:dyDescent="0.3">
      <c r="A18" s="5">
        <f t="shared" si="0"/>
        <v>8</v>
      </c>
      <c r="B18" s="6" t="s">
        <v>276</v>
      </c>
      <c r="C18" s="6" t="s">
        <v>277</v>
      </c>
      <c r="D18" s="6" t="s">
        <v>116</v>
      </c>
      <c r="E18" s="6">
        <v>9</v>
      </c>
      <c r="F18" s="20">
        <f t="shared" si="1"/>
        <v>61.53846153846154</v>
      </c>
      <c r="G18" s="6">
        <v>7</v>
      </c>
      <c r="H18" s="20">
        <v>14.5</v>
      </c>
      <c r="I18" s="6">
        <v>14</v>
      </c>
      <c r="J18" s="7">
        <f>14/2</f>
        <v>7</v>
      </c>
      <c r="K18" s="6"/>
      <c r="L18" s="7">
        <f t="shared" si="10"/>
        <v>0</v>
      </c>
      <c r="M18" s="6"/>
      <c r="N18" s="7">
        <f t="shared" si="4"/>
        <v>0</v>
      </c>
      <c r="O18" s="6">
        <v>10</v>
      </c>
      <c r="P18" s="20">
        <f t="shared" si="5"/>
        <v>133.33333333333334</v>
      </c>
      <c r="Q18" s="6">
        <v>65</v>
      </c>
      <c r="R18" s="20">
        <f t="shared" si="6"/>
        <v>225</v>
      </c>
      <c r="S18" s="8">
        <f>R18+P18+F18+H18</f>
        <v>434.37179487179492</v>
      </c>
      <c r="T18" s="6">
        <f t="shared" si="7"/>
        <v>5</v>
      </c>
      <c r="U18" s="6">
        <f t="shared" si="8"/>
        <v>8</v>
      </c>
      <c r="V18" s="17">
        <f t="shared" si="9"/>
        <v>0.7142857142857143</v>
      </c>
    </row>
    <row r="19" spans="1:22" x14ac:dyDescent="0.3">
      <c r="A19" s="5">
        <f t="shared" si="0"/>
        <v>9</v>
      </c>
      <c r="B19" s="6" t="s">
        <v>274</v>
      </c>
      <c r="C19" s="6" t="s">
        <v>275</v>
      </c>
      <c r="D19" s="6" t="s">
        <v>116</v>
      </c>
      <c r="E19" s="6">
        <v>8</v>
      </c>
      <c r="F19" s="20">
        <f t="shared" si="1"/>
        <v>76.92307692307692</v>
      </c>
      <c r="G19" s="6">
        <v>5</v>
      </c>
      <c r="H19" s="7">
        <f t="shared" ref="H19:H29" si="11">IF(G19=0,,($G$9-G19)*$G$7*100/$G$9)</f>
        <v>57.142857142857146</v>
      </c>
      <c r="I19" s="6">
        <v>9</v>
      </c>
      <c r="J19" s="20">
        <f t="shared" ref="J19:J29" si="12">IF(I19=0,,($I$9-I19)*$I$7*100/$I$9)</f>
        <v>71.428571428571431</v>
      </c>
      <c r="K19" s="6"/>
      <c r="L19" s="7">
        <f t="shared" si="10"/>
        <v>0</v>
      </c>
      <c r="M19" s="6">
        <v>9</v>
      </c>
      <c r="N19" s="7">
        <f t="shared" si="4"/>
        <v>20</v>
      </c>
      <c r="O19" s="6">
        <v>11</v>
      </c>
      <c r="P19" s="20">
        <f t="shared" si="5"/>
        <v>116.66666666666667</v>
      </c>
      <c r="Q19" s="6">
        <f>64+27</f>
        <v>91</v>
      </c>
      <c r="R19" s="20">
        <f t="shared" si="6"/>
        <v>75</v>
      </c>
      <c r="S19" s="8">
        <f>P19+J19+R19+F19</f>
        <v>340.01831501831498</v>
      </c>
      <c r="T19" s="6">
        <f t="shared" si="7"/>
        <v>6</v>
      </c>
      <c r="U19" s="6">
        <f t="shared" si="8"/>
        <v>9</v>
      </c>
      <c r="V19" s="19">
        <f t="shared" si="9"/>
        <v>0.8571428571428571</v>
      </c>
    </row>
    <row r="20" spans="1:22" x14ac:dyDescent="0.3">
      <c r="A20" s="5">
        <f t="shared" si="0"/>
        <v>10</v>
      </c>
      <c r="B20" s="6" t="s">
        <v>272</v>
      </c>
      <c r="C20" s="6" t="s">
        <v>273</v>
      </c>
      <c r="D20" s="6" t="s">
        <v>142</v>
      </c>
      <c r="E20" s="6">
        <v>7</v>
      </c>
      <c r="F20" s="7">
        <f t="shared" si="1"/>
        <v>92.307692307692307</v>
      </c>
      <c r="G20" s="6"/>
      <c r="H20" s="7">
        <f t="shared" si="11"/>
        <v>0</v>
      </c>
      <c r="I20" s="6"/>
      <c r="J20" s="7">
        <f t="shared" si="12"/>
        <v>0</v>
      </c>
      <c r="K20" s="6"/>
      <c r="L20" s="7">
        <f t="shared" si="10"/>
        <v>0</v>
      </c>
      <c r="M20" s="6"/>
      <c r="N20" s="7">
        <f t="shared" si="4"/>
        <v>0</v>
      </c>
      <c r="O20" s="6">
        <v>9</v>
      </c>
      <c r="P20" s="7">
        <f t="shared" si="5"/>
        <v>150</v>
      </c>
      <c r="Q20" s="6"/>
      <c r="R20" s="7">
        <f t="shared" si="6"/>
        <v>0</v>
      </c>
      <c r="S20" s="8">
        <f>R20+P20+N20+L20+J20+H20+F20</f>
        <v>242.30769230769232</v>
      </c>
      <c r="T20" s="6">
        <f t="shared" si="7"/>
        <v>2</v>
      </c>
      <c r="U20" s="6">
        <f t="shared" si="8"/>
        <v>10</v>
      </c>
      <c r="V20" s="19">
        <f t="shared" si="9"/>
        <v>0.2857142857142857</v>
      </c>
    </row>
    <row r="21" spans="1:22" x14ac:dyDescent="0.3">
      <c r="A21" s="5">
        <f t="shared" si="0"/>
        <v>11</v>
      </c>
      <c r="B21" s="6" t="s">
        <v>281</v>
      </c>
      <c r="C21" s="6" t="s">
        <v>282</v>
      </c>
      <c r="D21" s="6" t="s">
        <v>117</v>
      </c>
      <c r="E21" s="6">
        <v>12</v>
      </c>
      <c r="F21" s="7">
        <f t="shared" si="1"/>
        <v>15.384615384615385</v>
      </c>
      <c r="G21" s="6">
        <v>6</v>
      </c>
      <c r="H21" s="20">
        <f t="shared" si="11"/>
        <v>28.571428571428573</v>
      </c>
      <c r="I21" s="6"/>
      <c r="J21" s="7">
        <f t="shared" si="12"/>
        <v>0</v>
      </c>
      <c r="K21" s="6">
        <v>7</v>
      </c>
      <c r="L21" s="20">
        <f t="shared" si="10"/>
        <v>83.333333333333329</v>
      </c>
      <c r="M21" s="6">
        <v>7</v>
      </c>
      <c r="N21" s="20">
        <f t="shared" si="4"/>
        <v>60</v>
      </c>
      <c r="O21" s="6">
        <v>14</v>
      </c>
      <c r="P21" s="20">
        <f t="shared" si="5"/>
        <v>66.666666666666671</v>
      </c>
      <c r="Q21" s="6"/>
      <c r="R21" s="7">
        <f t="shared" si="6"/>
        <v>0</v>
      </c>
      <c r="S21" s="8">
        <f>P21+N21+L21+H21</f>
        <v>238.57142857142858</v>
      </c>
      <c r="T21" s="6">
        <f t="shared" si="7"/>
        <v>5</v>
      </c>
      <c r="U21" s="6">
        <f t="shared" si="8"/>
        <v>11</v>
      </c>
      <c r="V21" s="19">
        <f t="shared" si="9"/>
        <v>0.7142857142857143</v>
      </c>
    </row>
    <row r="22" spans="1:22" x14ac:dyDescent="0.3">
      <c r="A22" s="5">
        <f t="shared" si="0"/>
        <v>12</v>
      </c>
      <c r="B22" s="6" t="s">
        <v>227</v>
      </c>
      <c r="C22" s="6" t="s">
        <v>228</v>
      </c>
      <c r="D22" s="6" t="s">
        <v>116</v>
      </c>
      <c r="E22" s="6"/>
      <c r="F22" s="7">
        <f t="shared" si="1"/>
        <v>0</v>
      </c>
      <c r="G22" s="6"/>
      <c r="H22" s="7">
        <f t="shared" si="11"/>
        <v>0</v>
      </c>
      <c r="I22" s="6"/>
      <c r="J22" s="7">
        <f t="shared" si="12"/>
        <v>0</v>
      </c>
      <c r="K22" s="6"/>
      <c r="L22" s="7">
        <f t="shared" si="10"/>
        <v>0</v>
      </c>
      <c r="M22" s="6"/>
      <c r="N22" s="7">
        <f t="shared" si="4"/>
        <v>0</v>
      </c>
      <c r="O22" s="6"/>
      <c r="P22" s="7">
        <f t="shared" si="5"/>
        <v>0</v>
      </c>
      <c r="Q22" s="6">
        <f>64+15</f>
        <v>79</v>
      </c>
      <c r="R22" s="7">
        <f t="shared" si="6"/>
        <v>144.23076923076923</v>
      </c>
      <c r="S22" s="8">
        <f t="shared" ref="S22:S29" si="13">R22+P22+N22+L22+J22+H22+F22</f>
        <v>144.23076923076923</v>
      </c>
      <c r="T22" s="6">
        <f t="shared" si="7"/>
        <v>1</v>
      </c>
      <c r="U22" s="6">
        <f t="shared" si="8"/>
        <v>12</v>
      </c>
      <c r="V22" s="19">
        <f t="shared" si="9"/>
        <v>0.14285714285714285</v>
      </c>
    </row>
    <row r="23" spans="1:22" x14ac:dyDescent="0.3">
      <c r="A23" s="5">
        <f t="shared" si="0"/>
        <v>13</v>
      </c>
      <c r="B23" s="6" t="s">
        <v>479</v>
      </c>
      <c r="C23" s="6" t="s">
        <v>444</v>
      </c>
      <c r="D23" s="6" t="s">
        <v>91</v>
      </c>
      <c r="E23" s="6"/>
      <c r="F23" s="7">
        <f t="shared" si="1"/>
        <v>0</v>
      </c>
      <c r="G23" s="6"/>
      <c r="H23" s="7">
        <f t="shared" si="11"/>
        <v>0</v>
      </c>
      <c r="I23" s="6"/>
      <c r="J23" s="7">
        <f t="shared" si="12"/>
        <v>0</v>
      </c>
      <c r="K23" s="6">
        <v>8</v>
      </c>
      <c r="L23" s="7">
        <f t="shared" si="10"/>
        <v>66.666666666666671</v>
      </c>
      <c r="M23" s="6"/>
      <c r="N23" s="7">
        <f t="shared" si="4"/>
        <v>0</v>
      </c>
      <c r="O23" s="6">
        <v>15</v>
      </c>
      <c r="P23" s="7">
        <f t="shared" si="5"/>
        <v>50</v>
      </c>
      <c r="Q23" s="6"/>
      <c r="R23" s="7">
        <f t="shared" si="6"/>
        <v>0</v>
      </c>
      <c r="S23" s="8">
        <f t="shared" si="13"/>
        <v>116.66666666666667</v>
      </c>
      <c r="T23" s="6">
        <f t="shared" si="7"/>
        <v>2</v>
      </c>
      <c r="U23" s="6">
        <f t="shared" si="8"/>
        <v>13</v>
      </c>
      <c r="V23" s="17">
        <f t="shared" si="9"/>
        <v>0.2857142857142857</v>
      </c>
    </row>
    <row r="24" spans="1:22" x14ac:dyDescent="0.3">
      <c r="A24" s="5">
        <f t="shared" si="0"/>
        <v>14</v>
      </c>
      <c r="B24" s="6" t="s">
        <v>279</v>
      </c>
      <c r="C24" s="6" t="s">
        <v>280</v>
      </c>
      <c r="D24" s="6" t="s">
        <v>117</v>
      </c>
      <c r="E24" s="6">
        <v>11</v>
      </c>
      <c r="F24" s="7">
        <f t="shared" si="1"/>
        <v>30.76923076923077</v>
      </c>
      <c r="G24" s="6"/>
      <c r="H24" s="7">
        <f t="shared" si="11"/>
        <v>0</v>
      </c>
      <c r="I24" s="6"/>
      <c r="J24" s="7">
        <f t="shared" si="12"/>
        <v>0</v>
      </c>
      <c r="K24" s="6">
        <v>10</v>
      </c>
      <c r="L24" s="7">
        <f t="shared" si="10"/>
        <v>33.333333333333336</v>
      </c>
      <c r="M24" s="6">
        <v>8</v>
      </c>
      <c r="N24" s="7">
        <f t="shared" si="4"/>
        <v>40</v>
      </c>
      <c r="O24" s="6"/>
      <c r="P24" s="7">
        <f t="shared" si="5"/>
        <v>0</v>
      </c>
      <c r="Q24" s="6"/>
      <c r="R24" s="7">
        <f t="shared" si="6"/>
        <v>0</v>
      </c>
      <c r="S24" s="8">
        <f t="shared" si="13"/>
        <v>104.10256410256412</v>
      </c>
      <c r="T24" s="6">
        <f t="shared" si="7"/>
        <v>3</v>
      </c>
      <c r="U24" s="6">
        <f t="shared" si="8"/>
        <v>14</v>
      </c>
      <c r="V24" s="19">
        <f t="shared" si="9"/>
        <v>0.42857142857142855</v>
      </c>
    </row>
    <row r="25" spans="1:22" x14ac:dyDescent="0.3">
      <c r="A25" s="5">
        <f t="shared" si="0"/>
        <v>15</v>
      </c>
      <c r="B25" s="6" t="s">
        <v>480</v>
      </c>
      <c r="C25" s="6" t="s">
        <v>481</v>
      </c>
      <c r="D25" s="6" t="s">
        <v>91</v>
      </c>
      <c r="E25" s="6"/>
      <c r="F25" s="7">
        <f t="shared" si="1"/>
        <v>0</v>
      </c>
      <c r="G25" s="6"/>
      <c r="H25" s="7">
        <f t="shared" si="11"/>
        <v>0</v>
      </c>
      <c r="I25" s="6"/>
      <c r="J25" s="7">
        <f t="shared" si="12"/>
        <v>0</v>
      </c>
      <c r="K25" s="6">
        <v>9</v>
      </c>
      <c r="L25" s="7">
        <f t="shared" si="10"/>
        <v>50</v>
      </c>
      <c r="M25" s="6">
        <v>10</v>
      </c>
      <c r="N25" s="7">
        <f>20/2</f>
        <v>10</v>
      </c>
      <c r="O25" s="6">
        <v>18</v>
      </c>
      <c r="P25" s="7">
        <f t="shared" si="5"/>
        <v>0</v>
      </c>
      <c r="Q25" s="6"/>
      <c r="R25" s="7">
        <f t="shared" si="6"/>
        <v>0</v>
      </c>
      <c r="S25" s="8">
        <f t="shared" si="13"/>
        <v>60</v>
      </c>
      <c r="T25" s="6">
        <f t="shared" si="7"/>
        <v>3</v>
      </c>
      <c r="U25" s="6">
        <f t="shared" si="8"/>
        <v>15</v>
      </c>
      <c r="V25" s="19">
        <f t="shared" si="9"/>
        <v>0.42857142857142855</v>
      </c>
    </row>
    <row r="26" spans="1:22" x14ac:dyDescent="0.3">
      <c r="A26" s="5">
        <f t="shared" si="0"/>
        <v>16</v>
      </c>
      <c r="B26" s="6" t="s">
        <v>283</v>
      </c>
      <c r="C26" s="6" t="s">
        <v>284</v>
      </c>
      <c r="D26" s="6" t="s">
        <v>100</v>
      </c>
      <c r="E26" s="6">
        <v>13</v>
      </c>
      <c r="F26" s="7">
        <f>15/2</f>
        <v>7.5</v>
      </c>
      <c r="G26" s="6"/>
      <c r="H26" s="7">
        <f t="shared" si="11"/>
        <v>0</v>
      </c>
      <c r="I26" s="6">
        <v>12</v>
      </c>
      <c r="J26" s="7">
        <f t="shared" si="12"/>
        <v>28.571428571428573</v>
      </c>
      <c r="K26" s="6">
        <v>11</v>
      </c>
      <c r="L26" s="7">
        <f t="shared" si="10"/>
        <v>16.666666666666668</v>
      </c>
      <c r="M26" s="6"/>
      <c r="N26" s="7">
        <f>IF(M26=0,,($M$9-M26)*$M$7*100/$M$9)</f>
        <v>0</v>
      </c>
      <c r="O26" s="6"/>
      <c r="P26" s="7">
        <f t="shared" si="5"/>
        <v>0</v>
      </c>
      <c r="Q26" s="6"/>
      <c r="R26" s="7">
        <f t="shared" si="6"/>
        <v>0</v>
      </c>
      <c r="S26" s="8">
        <f t="shared" si="13"/>
        <v>52.738095238095241</v>
      </c>
      <c r="T26" s="6">
        <f t="shared" si="7"/>
        <v>3</v>
      </c>
      <c r="U26" s="6">
        <f t="shared" si="8"/>
        <v>16</v>
      </c>
      <c r="V26" s="19">
        <f t="shared" si="9"/>
        <v>0.42857142857142855</v>
      </c>
    </row>
    <row r="27" spans="1:22" x14ac:dyDescent="0.3">
      <c r="A27" s="5">
        <f t="shared" si="0"/>
        <v>17</v>
      </c>
      <c r="B27" s="6" t="s">
        <v>577</v>
      </c>
      <c r="C27" s="6" t="s">
        <v>578</v>
      </c>
      <c r="D27" s="6" t="s">
        <v>579</v>
      </c>
      <c r="E27" s="6"/>
      <c r="F27" s="7">
        <f>IF(E27=0,,($E$9-E27)*$E$7*100/$E$9)</f>
        <v>0</v>
      </c>
      <c r="G27" s="6"/>
      <c r="H27" s="7">
        <f t="shared" si="11"/>
        <v>0</v>
      </c>
      <c r="I27" s="6"/>
      <c r="J27" s="7">
        <f t="shared" si="12"/>
        <v>0</v>
      </c>
      <c r="K27" s="6"/>
      <c r="L27" s="7">
        <f t="shared" si="10"/>
        <v>0</v>
      </c>
      <c r="M27" s="6"/>
      <c r="N27" s="7">
        <f>IF(M27=0,,($M$9-M27)*$M$7*100/$M$9)</f>
        <v>0</v>
      </c>
      <c r="O27" s="6">
        <v>16</v>
      </c>
      <c r="P27" s="7">
        <f t="shared" si="5"/>
        <v>33.333333333333336</v>
      </c>
      <c r="Q27" s="6"/>
      <c r="R27" s="7">
        <f t="shared" si="6"/>
        <v>0</v>
      </c>
      <c r="S27" s="8">
        <f t="shared" si="13"/>
        <v>33.333333333333336</v>
      </c>
      <c r="T27" s="6">
        <f t="shared" si="7"/>
        <v>1</v>
      </c>
      <c r="U27" s="6">
        <f t="shared" si="8"/>
        <v>17</v>
      </c>
      <c r="V27" s="17">
        <f t="shared" si="9"/>
        <v>0.14285714285714285</v>
      </c>
    </row>
    <row r="28" spans="1:22" x14ac:dyDescent="0.3">
      <c r="A28" s="5">
        <f t="shared" si="0"/>
        <v>18</v>
      </c>
      <c r="B28" s="6" t="s">
        <v>580</v>
      </c>
      <c r="C28" s="6" t="s">
        <v>581</v>
      </c>
      <c r="D28" s="6" t="s">
        <v>91</v>
      </c>
      <c r="E28" s="6"/>
      <c r="F28" s="7">
        <f>IF(E28=0,,($E$9-E28)*$E$7*100/$E$9)</f>
        <v>0</v>
      </c>
      <c r="G28" s="6"/>
      <c r="H28" s="7">
        <f t="shared" si="11"/>
        <v>0</v>
      </c>
      <c r="I28" s="6"/>
      <c r="J28" s="7">
        <f t="shared" si="12"/>
        <v>0</v>
      </c>
      <c r="K28" s="6"/>
      <c r="L28" s="7">
        <f t="shared" si="10"/>
        <v>0</v>
      </c>
      <c r="M28" s="6"/>
      <c r="N28" s="7">
        <f>IF(M28=0,,($M$9-M28)*$M$7*100/$M$9)</f>
        <v>0</v>
      </c>
      <c r="O28" s="6">
        <v>17</v>
      </c>
      <c r="P28" s="7">
        <f t="shared" si="5"/>
        <v>16.666666666666668</v>
      </c>
      <c r="Q28" s="6"/>
      <c r="R28" s="7">
        <f t="shared" si="6"/>
        <v>0</v>
      </c>
      <c r="S28" s="8">
        <f t="shared" si="13"/>
        <v>16.666666666666668</v>
      </c>
      <c r="T28" s="6">
        <f t="shared" si="7"/>
        <v>1</v>
      </c>
      <c r="U28" s="6">
        <f t="shared" si="8"/>
        <v>18</v>
      </c>
      <c r="V28" s="19">
        <f t="shared" si="9"/>
        <v>0.14285714285714285</v>
      </c>
    </row>
    <row r="29" spans="1:22" x14ac:dyDescent="0.3">
      <c r="A29" s="5">
        <f t="shared" si="0"/>
        <v>19</v>
      </c>
      <c r="B29" s="6" t="s">
        <v>395</v>
      </c>
      <c r="C29" s="6" t="s">
        <v>396</v>
      </c>
      <c r="D29" s="6" t="s">
        <v>103</v>
      </c>
      <c r="E29" s="6"/>
      <c r="F29" s="7">
        <f>IF(E29=0,,($E$9-E29)*$E$7*100/$E$9)</f>
        <v>0</v>
      </c>
      <c r="G29" s="6"/>
      <c r="H29" s="7">
        <f t="shared" si="11"/>
        <v>0</v>
      </c>
      <c r="I29" s="6">
        <v>13</v>
      </c>
      <c r="J29" s="7">
        <f t="shared" si="12"/>
        <v>14.285714285714286</v>
      </c>
      <c r="K29" s="6"/>
      <c r="L29" s="7">
        <f t="shared" si="10"/>
        <v>0</v>
      </c>
      <c r="M29" s="6"/>
      <c r="N29" s="7">
        <f>IF(M29=0,,($M$9-M29)*$M$7*100/$M$9)</f>
        <v>0</v>
      </c>
      <c r="O29" s="6"/>
      <c r="P29" s="7">
        <f t="shared" si="5"/>
        <v>0</v>
      </c>
      <c r="Q29" s="6"/>
      <c r="R29" s="7">
        <f t="shared" si="6"/>
        <v>0</v>
      </c>
      <c r="S29" s="8">
        <f t="shared" si="13"/>
        <v>14.285714285714286</v>
      </c>
      <c r="T29" s="6">
        <f t="shared" si="7"/>
        <v>1</v>
      </c>
      <c r="U29" s="6">
        <f t="shared" si="8"/>
        <v>19</v>
      </c>
      <c r="V29" s="19">
        <f t="shared" si="9"/>
        <v>0.14285714285714285</v>
      </c>
    </row>
    <row r="30" spans="1:22" x14ac:dyDescent="0.3">
      <c r="A30" s="5">
        <f t="shared" ref="A30" si="14">U30</f>
        <v>20</v>
      </c>
      <c r="B30" s="6"/>
      <c r="C30" s="6"/>
      <c r="D30" s="6"/>
      <c r="E30" s="6"/>
      <c r="F30" s="7">
        <f t="shared" ref="F30" si="15">IF(E30=0,,($E$9-E30)*$E$7*100/$E$9)</f>
        <v>0</v>
      </c>
      <c r="G30" s="6"/>
      <c r="H30" s="7">
        <f t="shared" ref="H30" si="16">IF(G30=0,,($G$9-G30)*$G$7*100/$G$9)</f>
        <v>0</v>
      </c>
      <c r="I30" s="6"/>
      <c r="J30" s="7">
        <f t="shared" ref="J30" si="17">IF(I30=0,,($I$9-I30)*$I$7*100/$I$9)</f>
        <v>0</v>
      </c>
      <c r="K30" s="6"/>
      <c r="L30" s="7">
        <f t="shared" ref="L30" si="18">IF(K30=0,,($K$9-K30)*$K$7*100/$K$9)</f>
        <v>0</v>
      </c>
      <c r="M30" s="6"/>
      <c r="N30" s="7">
        <f t="shared" ref="N30" si="19">IF(M30=0,,($M$9-M30)*$M$7*100/$M$9)</f>
        <v>0</v>
      </c>
      <c r="O30" s="6"/>
      <c r="P30" s="7">
        <f t="shared" ref="P30" si="20">IF(O30=0,,($O$9-O30)*$O$7*100/$O$9)</f>
        <v>0</v>
      </c>
      <c r="Q30" s="6"/>
      <c r="R30" s="7">
        <f t="shared" ref="R30" si="21">IF(Q30=0,,($Q$9-Q30)*$Q$7*100/$Q$9)</f>
        <v>0</v>
      </c>
      <c r="S30" s="8">
        <f t="shared" ref="S30" si="22">R30+P30+N30+L30+J30+H30+F30</f>
        <v>0</v>
      </c>
      <c r="T30" s="6">
        <f t="shared" ref="T30" si="23">COUNTA(E30,G30,I30,K30,M30,Q30,O30)</f>
        <v>0</v>
      </c>
      <c r="U30" s="6">
        <f t="shared" ref="U30" si="24">ROW(B30)-10</f>
        <v>20</v>
      </c>
      <c r="V30" s="19">
        <f t="shared" ref="V30" si="25">T30/$G$3</f>
        <v>0</v>
      </c>
    </row>
    <row r="31" spans="1:22" x14ac:dyDescent="0.3">
      <c r="A31" s="29" t="s">
        <v>18</v>
      </c>
      <c r="B31" s="29"/>
      <c r="C31" s="30"/>
      <c r="E31">
        <f>COUNTA(E11:E30)</f>
        <v>13</v>
      </c>
      <c r="G31">
        <f>COUNTA(G11:G30)</f>
        <v>7</v>
      </c>
      <c r="I31">
        <f>COUNTA(I11:I30)</f>
        <v>9</v>
      </c>
      <c r="K31">
        <f>COUNTA(K11:K30)</f>
        <v>12</v>
      </c>
      <c r="M31">
        <f>COUNTA(M11:M30)</f>
        <v>10</v>
      </c>
      <c r="O31">
        <f>COUNTA(O11:O30)</f>
        <v>15</v>
      </c>
      <c r="Q31">
        <f>COUNTA(Q11:Q30)</f>
        <v>8</v>
      </c>
    </row>
    <row r="32" spans="1:22" x14ac:dyDescent="0.3">
      <c r="A32" s="32" t="s">
        <v>40</v>
      </c>
      <c r="B32" s="32"/>
      <c r="C32" s="32"/>
      <c r="E32" s="16">
        <f>E31/$G$2</f>
        <v>0.68421052631578949</v>
      </c>
      <c r="G32" s="16">
        <f>G31/$G$2</f>
        <v>0.36842105263157893</v>
      </c>
      <c r="I32" s="16">
        <f>I31/$G$2</f>
        <v>0.47368421052631576</v>
      </c>
      <c r="K32" s="16">
        <f>K31/$G$2</f>
        <v>0.63157894736842102</v>
      </c>
      <c r="M32" s="16">
        <f>M31/$G$2</f>
        <v>0.52631578947368418</v>
      </c>
      <c r="O32" s="16">
        <f>O31/$G$2</f>
        <v>0.78947368421052633</v>
      </c>
      <c r="Q32" s="16">
        <f>Q31/$G$2</f>
        <v>0.42105263157894735</v>
      </c>
    </row>
    <row r="41" spans="14:14" x14ac:dyDescent="0.3">
      <c r="N41" s="10"/>
    </row>
  </sheetData>
  <sortState xmlns:xlrd2="http://schemas.microsoft.com/office/spreadsheetml/2017/richdata2" ref="A11:V29">
    <sortCondition descending="1" ref="S11:S29"/>
    <sortCondition ref="B11:B29"/>
  </sortState>
  <mergeCells count="33">
    <mergeCell ref="Q9:R9"/>
    <mergeCell ref="A31:C31"/>
    <mergeCell ref="I9:J9"/>
    <mergeCell ref="K9:L9"/>
    <mergeCell ref="K8:L8"/>
    <mergeCell ref="O8:P8"/>
    <mergeCell ref="G9:H9"/>
    <mergeCell ref="A32:C32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</mergeCells>
  <pageMargins left="0.16" right="0.12" top="0.74803149606299213" bottom="0.12" header="0.31496062992125984" footer="0.12"/>
  <pageSetup paperSize="9" scale="42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9"/>
  <sheetViews>
    <sheetView zoomScale="66" zoomScaleNormal="6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A10" sqref="A10:V67"/>
    </sheetView>
  </sheetViews>
  <sheetFormatPr baseColWidth="10" defaultRowHeight="14.4" x14ac:dyDescent="0.3"/>
  <cols>
    <col min="1" max="1" width="25.33203125" bestFit="1" customWidth="1"/>
    <col min="2" max="2" width="40.4414062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17.109375" bestFit="1" customWidth="1"/>
    <col min="21" max="21" width="25.33203125" bestFit="1" customWidth="1"/>
    <col min="22" max="22" width="28.109375" bestFit="1" customWidth="1"/>
  </cols>
  <sheetData>
    <row r="1" spans="1:22" ht="31.2" x14ac:dyDescent="0.6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2" x14ac:dyDescent="0.3">
      <c r="E2" s="33" t="s">
        <v>37</v>
      </c>
      <c r="F2" s="33"/>
      <c r="G2" s="15">
        <f>COUNTA(B11:B67)</f>
        <v>57</v>
      </c>
    </row>
    <row r="3" spans="1:22" x14ac:dyDescent="0.3">
      <c r="B3" s="2"/>
      <c r="E3" s="33" t="s">
        <v>38</v>
      </c>
      <c r="F3" s="33"/>
      <c r="G3" s="15">
        <f>COUNTA(E8:R8)</f>
        <v>7</v>
      </c>
    </row>
    <row r="4" spans="1:22" x14ac:dyDescent="0.3">
      <c r="B4" s="2"/>
      <c r="C4" s="3"/>
    </row>
    <row r="6" spans="1:22" x14ac:dyDescent="0.3">
      <c r="D6" s="1" t="s">
        <v>0</v>
      </c>
      <c r="E6" s="28" t="s">
        <v>25</v>
      </c>
      <c r="F6" s="28"/>
      <c r="G6" s="28" t="s">
        <v>30</v>
      </c>
      <c r="H6" s="28"/>
      <c r="I6" s="28" t="s">
        <v>31</v>
      </c>
      <c r="J6" s="28"/>
      <c r="K6" s="28" t="s">
        <v>15</v>
      </c>
      <c r="L6" s="28"/>
      <c r="M6" s="25" t="s">
        <v>49</v>
      </c>
      <c r="N6" s="26"/>
      <c r="O6" s="28" t="s">
        <v>463</v>
      </c>
      <c r="P6" s="28"/>
      <c r="Q6" s="28" t="s">
        <v>26</v>
      </c>
      <c r="R6" s="28"/>
    </row>
    <row r="7" spans="1:22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  <c r="K7" s="25">
        <v>2</v>
      </c>
      <c r="L7" s="26"/>
      <c r="M7" s="25">
        <v>2</v>
      </c>
      <c r="N7" s="26"/>
      <c r="O7" s="25">
        <v>2</v>
      </c>
      <c r="P7" s="26"/>
      <c r="Q7" s="25">
        <v>2</v>
      </c>
      <c r="R7" s="26"/>
    </row>
    <row r="8" spans="1:22" x14ac:dyDescent="0.3">
      <c r="D8" s="1" t="s">
        <v>1</v>
      </c>
      <c r="E8" s="31">
        <v>45207</v>
      </c>
      <c r="F8" s="31"/>
      <c r="G8" s="34">
        <v>45214</v>
      </c>
      <c r="H8" s="35"/>
      <c r="I8" s="34">
        <v>45241</v>
      </c>
      <c r="J8" s="35"/>
      <c r="K8" s="34">
        <v>45248</v>
      </c>
      <c r="L8" s="35"/>
      <c r="M8" s="34">
        <v>45263</v>
      </c>
      <c r="N8" s="35"/>
      <c r="O8" s="31">
        <v>45333</v>
      </c>
      <c r="P8" s="31"/>
      <c r="Q8" s="31">
        <v>45389</v>
      </c>
      <c r="R8" s="31"/>
    </row>
    <row r="9" spans="1:22" x14ac:dyDescent="0.3">
      <c r="D9" s="1" t="s">
        <v>2</v>
      </c>
      <c r="E9" s="28">
        <v>13</v>
      </c>
      <c r="F9" s="28"/>
      <c r="G9" s="25">
        <v>28</v>
      </c>
      <c r="H9" s="26"/>
      <c r="I9" s="25">
        <v>22</v>
      </c>
      <c r="J9" s="26"/>
      <c r="K9" s="25">
        <v>18</v>
      </c>
      <c r="L9" s="26"/>
      <c r="M9" s="25">
        <v>28</v>
      </c>
      <c r="N9" s="26"/>
      <c r="O9" s="28">
        <v>26</v>
      </c>
      <c r="P9" s="28"/>
      <c r="Q9" s="28">
        <v>29</v>
      </c>
      <c r="R9" s="28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39</v>
      </c>
      <c r="U10" s="1" t="s">
        <v>9</v>
      </c>
      <c r="V10" s="1" t="s">
        <v>41</v>
      </c>
    </row>
    <row r="11" spans="1:22" x14ac:dyDescent="0.3">
      <c r="A11" s="5">
        <f t="shared" ref="A11:A42" si="0">U11</f>
        <v>1</v>
      </c>
      <c r="B11" s="6" t="s">
        <v>187</v>
      </c>
      <c r="C11" s="6" t="s">
        <v>188</v>
      </c>
      <c r="D11" s="6" t="s">
        <v>108</v>
      </c>
      <c r="E11" s="6">
        <v>5</v>
      </c>
      <c r="F11" s="7">
        <f t="shared" ref="F11:F41" si="1">IF(E11=0,,($E$9-E11)*$E$7*100/$E$9)</f>
        <v>123.07692307692308</v>
      </c>
      <c r="G11" s="6">
        <v>6</v>
      </c>
      <c r="H11" s="7">
        <f t="shared" ref="H11:H41" si="2">IF(G11=0,,($G$9-G11)*$G$7*100/$G$9)</f>
        <v>157.14285714285714</v>
      </c>
      <c r="I11" s="6"/>
      <c r="J11" s="7">
        <f t="shared" ref="J11:J36" si="3">IF(I11=0,,($I$9-I11)*$I$7*100/$I$9)</f>
        <v>0</v>
      </c>
      <c r="K11" s="6">
        <v>3</v>
      </c>
      <c r="L11" s="20">
        <f t="shared" ref="L11:L41" si="4">IF(K11=0,,($K$9-K11)*$K$7*100/$K$9)</f>
        <v>166.66666666666666</v>
      </c>
      <c r="M11" s="6">
        <v>3</v>
      </c>
      <c r="N11" s="20">
        <f t="shared" ref="N11:N41" si="5">IF(M11=0,,($M$9-M11)*$M$7*100/$M$9)</f>
        <v>178.57142857142858</v>
      </c>
      <c r="O11" s="6">
        <v>1</v>
      </c>
      <c r="P11" s="20">
        <f t="shared" ref="P11:P41" si="6">IF(O11=0,,($O$9-O11)*$O$7*100/$O$9)</f>
        <v>192.30769230769232</v>
      </c>
      <c r="Q11" s="6">
        <v>1</v>
      </c>
      <c r="R11" s="20">
        <f t="shared" ref="R11:R42" si="7">IF(Q11=0,,($Q$9-Q11)*$Q$7*100/$Q$9)</f>
        <v>193.10344827586206</v>
      </c>
      <c r="S11" s="8">
        <f>R11+L11+N11+P11</f>
        <v>730.64923582164965</v>
      </c>
      <c r="T11" s="6">
        <f t="shared" ref="T11:T42" si="8">COUNTA(E11,G11,I11,K11,M11,O11,Q11)</f>
        <v>6</v>
      </c>
      <c r="U11" s="6">
        <f t="shared" ref="U11:U42" si="9">ROW(B11)-10</f>
        <v>1</v>
      </c>
      <c r="V11" s="17">
        <f t="shared" ref="V11:V42" si="10">T11/$G$3</f>
        <v>0.8571428571428571</v>
      </c>
    </row>
    <row r="12" spans="1:22" x14ac:dyDescent="0.3">
      <c r="A12" s="5">
        <f t="shared" si="0"/>
        <v>2</v>
      </c>
      <c r="B12" s="6" t="s">
        <v>180</v>
      </c>
      <c r="C12" s="6" t="s">
        <v>181</v>
      </c>
      <c r="D12" s="6" t="s">
        <v>90</v>
      </c>
      <c r="E12" s="6">
        <v>1</v>
      </c>
      <c r="F12" s="20">
        <f t="shared" si="1"/>
        <v>184.61538461538461</v>
      </c>
      <c r="G12" s="6">
        <v>9</v>
      </c>
      <c r="H12" s="7">
        <f t="shared" si="2"/>
        <v>135.71428571428572</v>
      </c>
      <c r="I12" s="6">
        <v>3</v>
      </c>
      <c r="J12" s="20">
        <f t="shared" si="3"/>
        <v>172.72727272727272</v>
      </c>
      <c r="K12" s="6"/>
      <c r="L12" s="7">
        <f t="shared" si="4"/>
        <v>0</v>
      </c>
      <c r="M12" s="6">
        <v>1</v>
      </c>
      <c r="N12" s="20">
        <f t="shared" si="5"/>
        <v>192.85714285714286</v>
      </c>
      <c r="O12" s="6"/>
      <c r="P12" s="7">
        <f t="shared" si="6"/>
        <v>0</v>
      </c>
      <c r="Q12" s="6">
        <v>3</v>
      </c>
      <c r="R12" s="20">
        <f t="shared" si="7"/>
        <v>179.31034482758622</v>
      </c>
      <c r="S12" s="8">
        <f>R12+N12+J12+F12</f>
        <v>729.51014502738644</v>
      </c>
      <c r="T12" s="6">
        <f t="shared" si="8"/>
        <v>5</v>
      </c>
      <c r="U12" s="6">
        <f t="shared" si="9"/>
        <v>2</v>
      </c>
      <c r="V12" s="17">
        <f t="shared" si="10"/>
        <v>0.7142857142857143</v>
      </c>
    </row>
    <row r="13" spans="1:22" x14ac:dyDescent="0.3">
      <c r="A13" s="5">
        <f t="shared" si="0"/>
        <v>3</v>
      </c>
      <c r="B13" s="6" t="s">
        <v>191</v>
      </c>
      <c r="C13" s="6" t="s">
        <v>192</v>
      </c>
      <c r="D13" s="6" t="s">
        <v>91</v>
      </c>
      <c r="E13" s="6">
        <v>7</v>
      </c>
      <c r="F13" s="7">
        <f t="shared" si="1"/>
        <v>92.307692307692307</v>
      </c>
      <c r="G13" s="6">
        <v>3</v>
      </c>
      <c r="H13" s="20">
        <f t="shared" si="2"/>
        <v>178.57142857142858</v>
      </c>
      <c r="I13" s="6">
        <v>13</v>
      </c>
      <c r="J13" s="7">
        <f t="shared" si="3"/>
        <v>81.818181818181813</v>
      </c>
      <c r="K13" s="6"/>
      <c r="L13" s="7">
        <f t="shared" si="4"/>
        <v>0</v>
      </c>
      <c r="M13" s="6">
        <v>2</v>
      </c>
      <c r="N13" s="20">
        <f t="shared" si="5"/>
        <v>185.71428571428572</v>
      </c>
      <c r="O13" s="6">
        <v>9</v>
      </c>
      <c r="P13" s="20">
        <f t="shared" si="6"/>
        <v>130.76923076923077</v>
      </c>
      <c r="Q13" s="6">
        <v>5</v>
      </c>
      <c r="R13" s="20">
        <f t="shared" si="7"/>
        <v>165.51724137931035</v>
      </c>
      <c r="S13" s="8">
        <f>H13+N13+P13+R13</f>
        <v>660.5721864342554</v>
      </c>
      <c r="T13" s="6">
        <f t="shared" si="8"/>
        <v>6</v>
      </c>
      <c r="U13" s="6">
        <f t="shared" si="9"/>
        <v>3</v>
      </c>
      <c r="V13" s="17">
        <f t="shared" si="10"/>
        <v>0.8571428571428571</v>
      </c>
    </row>
    <row r="14" spans="1:22" x14ac:dyDescent="0.3">
      <c r="A14" s="5">
        <f t="shared" si="0"/>
        <v>4</v>
      </c>
      <c r="B14" s="6" t="s">
        <v>183</v>
      </c>
      <c r="C14" s="6" t="s">
        <v>184</v>
      </c>
      <c r="D14" s="6" t="s">
        <v>117</v>
      </c>
      <c r="E14" s="6">
        <v>3</v>
      </c>
      <c r="F14" s="20">
        <f t="shared" si="1"/>
        <v>153.84615384615384</v>
      </c>
      <c r="G14" s="6">
        <v>7</v>
      </c>
      <c r="H14" s="20">
        <f t="shared" si="2"/>
        <v>150</v>
      </c>
      <c r="I14" s="6">
        <v>10</v>
      </c>
      <c r="J14" s="7">
        <f t="shared" si="3"/>
        <v>109.09090909090909</v>
      </c>
      <c r="K14" s="6"/>
      <c r="L14" s="7">
        <f t="shared" si="4"/>
        <v>0</v>
      </c>
      <c r="M14" s="6">
        <v>3</v>
      </c>
      <c r="N14" s="20">
        <f t="shared" si="5"/>
        <v>178.57142857142858</v>
      </c>
      <c r="O14" s="6">
        <v>3</v>
      </c>
      <c r="P14" s="20">
        <f t="shared" si="6"/>
        <v>176.92307692307693</v>
      </c>
      <c r="Q14" s="6">
        <v>8</v>
      </c>
      <c r="R14" s="7">
        <f t="shared" si="7"/>
        <v>144.82758620689654</v>
      </c>
      <c r="S14" s="8">
        <f>F14+H14+N14+P14</f>
        <v>659.34065934065927</v>
      </c>
      <c r="T14" s="6">
        <f t="shared" si="8"/>
        <v>6</v>
      </c>
      <c r="U14" s="6">
        <f t="shared" si="9"/>
        <v>4</v>
      </c>
      <c r="V14" s="17">
        <f t="shared" si="10"/>
        <v>0.8571428571428571</v>
      </c>
    </row>
    <row r="15" spans="1:22" x14ac:dyDescent="0.3">
      <c r="A15" s="5">
        <f t="shared" si="0"/>
        <v>5</v>
      </c>
      <c r="B15" s="6" t="s">
        <v>358</v>
      </c>
      <c r="C15" s="6" t="s">
        <v>216</v>
      </c>
      <c r="D15" s="6" t="s">
        <v>359</v>
      </c>
      <c r="E15" s="6"/>
      <c r="F15" s="7">
        <f t="shared" si="1"/>
        <v>0</v>
      </c>
      <c r="G15" s="6"/>
      <c r="H15" s="7">
        <f t="shared" si="2"/>
        <v>0</v>
      </c>
      <c r="I15" s="6">
        <v>5</v>
      </c>
      <c r="J15" s="7">
        <f t="shared" si="3"/>
        <v>154.54545454545453</v>
      </c>
      <c r="K15" s="6"/>
      <c r="L15" s="7">
        <f t="shared" si="4"/>
        <v>0</v>
      </c>
      <c r="M15" s="6">
        <v>5</v>
      </c>
      <c r="N15" s="7">
        <f t="shared" si="5"/>
        <v>164.28571428571428</v>
      </c>
      <c r="O15" s="6">
        <v>8</v>
      </c>
      <c r="P15" s="7">
        <f t="shared" si="6"/>
        <v>138.46153846153845</v>
      </c>
      <c r="Q15" s="6">
        <v>2</v>
      </c>
      <c r="R15" s="7">
        <f t="shared" si="7"/>
        <v>186.20689655172413</v>
      </c>
      <c r="S15" s="8">
        <f>N15+L15+J15+H15+F15+P15+R15</f>
        <v>643.49960384443148</v>
      </c>
      <c r="T15" s="6">
        <f t="shared" si="8"/>
        <v>4</v>
      </c>
      <c r="U15" s="6">
        <f t="shared" si="9"/>
        <v>5</v>
      </c>
      <c r="V15" s="17">
        <f t="shared" si="10"/>
        <v>0.5714285714285714</v>
      </c>
    </row>
    <row r="16" spans="1:22" x14ac:dyDescent="0.3">
      <c r="A16" s="5">
        <f t="shared" si="0"/>
        <v>6</v>
      </c>
      <c r="B16" s="6" t="s">
        <v>185</v>
      </c>
      <c r="C16" s="6" t="s">
        <v>186</v>
      </c>
      <c r="D16" s="6" t="s">
        <v>108</v>
      </c>
      <c r="E16" s="6">
        <v>4</v>
      </c>
      <c r="F16" s="7">
        <f t="shared" si="1"/>
        <v>138.46153846153845</v>
      </c>
      <c r="G16" s="6">
        <v>5</v>
      </c>
      <c r="H16" s="20">
        <f t="shared" si="2"/>
        <v>164.28571428571428</v>
      </c>
      <c r="I16" s="6">
        <v>9</v>
      </c>
      <c r="J16" s="7">
        <f t="shared" si="3"/>
        <v>118.18181818181819</v>
      </c>
      <c r="K16" s="6">
        <v>4</v>
      </c>
      <c r="L16" s="20">
        <f t="shared" si="4"/>
        <v>155.55555555555554</v>
      </c>
      <c r="M16" s="6">
        <v>6</v>
      </c>
      <c r="N16" s="20">
        <f t="shared" si="5"/>
        <v>157.14285714285714</v>
      </c>
      <c r="O16" s="6">
        <v>5</v>
      </c>
      <c r="P16" s="20">
        <f t="shared" si="6"/>
        <v>161.53846153846155</v>
      </c>
      <c r="Q16" s="6">
        <v>15</v>
      </c>
      <c r="R16" s="7">
        <f t="shared" si="7"/>
        <v>96.551724137931032</v>
      </c>
      <c r="S16" s="8">
        <f>H16+L16+N16+P16</f>
        <v>638.52258852258853</v>
      </c>
      <c r="T16" s="6">
        <f t="shared" si="8"/>
        <v>7</v>
      </c>
      <c r="U16" s="6">
        <f t="shared" si="9"/>
        <v>6</v>
      </c>
      <c r="V16" s="17">
        <f t="shared" si="10"/>
        <v>1</v>
      </c>
    </row>
    <row r="17" spans="1:22" x14ac:dyDescent="0.3">
      <c r="A17" s="5">
        <f t="shared" si="0"/>
        <v>7</v>
      </c>
      <c r="B17" s="6" t="s">
        <v>124</v>
      </c>
      <c r="C17" s="6" t="s">
        <v>182</v>
      </c>
      <c r="D17" s="6" t="s">
        <v>100</v>
      </c>
      <c r="E17" s="6">
        <v>2</v>
      </c>
      <c r="F17" s="20">
        <f t="shared" si="1"/>
        <v>169.23076923076923</v>
      </c>
      <c r="G17" s="6">
        <v>3</v>
      </c>
      <c r="H17" s="20">
        <f t="shared" si="2"/>
        <v>178.57142857142858</v>
      </c>
      <c r="I17" s="6">
        <v>6</v>
      </c>
      <c r="J17" s="20">
        <f t="shared" si="3"/>
        <v>145.45454545454547</v>
      </c>
      <c r="K17" s="6">
        <v>5</v>
      </c>
      <c r="L17" s="20">
        <f t="shared" si="4"/>
        <v>144.44444444444446</v>
      </c>
      <c r="M17" s="6"/>
      <c r="N17" s="7">
        <f t="shared" si="5"/>
        <v>0</v>
      </c>
      <c r="O17" s="6">
        <v>11</v>
      </c>
      <c r="P17" s="7">
        <f t="shared" si="6"/>
        <v>115.38461538461539</v>
      </c>
      <c r="Q17" s="6">
        <v>17</v>
      </c>
      <c r="R17" s="7">
        <f t="shared" si="7"/>
        <v>82.758620689655174</v>
      </c>
      <c r="S17" s="8">
        <f>F17+H17+J17+L17</f>
        <v>637.70118770118779</v>
      </c>
      <c r="T17" s="6">
        <f t="shared" si="8"/>
        <v>6</v>
      </c>
      <c r="U17" s="6">
        <f t="shared" si="9"/>
        <v>7</v>
      </c>
      <c r="V17" s="17">
        <f t="shared" si="10"/>
        <v>0.8571428571428571</v>
      </c>
    </row>
    <row r="18" spans="1:22" x14ac:dyDescent="0.3">
      <c r="A18" s="5">
        <f t="shared" si="0"/>
        <v>8</v>
      </c>
      <c r="B18" s="6" t="s">
        <v>195</v>
      </c>
      <c r="C18" s="6" t="s">
        <v>196</v>
      </c>
      <c r="D18" s="6" t="s">
        <v>117</v>
      </c>
      <c r="E18" s="6">
        <v>9</v>
      </c>
      <c r="F18" s="7">
        <f t="shared" si="1"/>
        <v>61.53846153846154</v>
      </c>
      <c r="G18" s="6">
        <v>10</v>
      </c>
      <c r="H18" s="7">
        <f t="shared" si="2"/>
        <v>128.57142857142858</v>
      </c>
      <c r="I18" s="6">
        <v>3</v>
      </c>
      <c r="J18" s="20">
        <f t="shared" si="3"/>
        <v>172.72727272727272</v>
      </c>
      <c r="K18" s="6"/>
      <c r="L18" s="7">
        <f t="shared" si="4"/>
        <v>0</v>
      </c>
      <c r="M18" s="6">
        <v>7</v>
      </c>
      <c r="N18" s="20">
        <f t="shared" si="5"/>
        <v>150</v>
      </c>
      <c r="O18" s="6">
        <v>6</v>
      </c>
      <c r="P18" s="20">
        <f t="shared" si="6"/>
        <v>153.84615384615384</v>
      </c>
      <c r="Q18" s="6">
        <v>6</v>
      </c>
      <c r="R18" s="20">
        <f t="shared" si="7"/>
        <v>158.62068965517241</v>
      </c>
      <c r="S18" s="8">
        <f>R18+J18+N18+P18</f>
        <v>635.194116228599</v>
      </c>
      <c r="T18" s="6">
        <f t="shared" si="8"/>
        <v>6</v>
      </c>
      <c r="U18" s="6">
        <f t="shared" si="9"/>
        <v>8</v>
      </c>
      <c r="V18" s="17">
        <f t="shared" si="10"/>
        <v>0.8571428571428571</v>
      </c>
    </row>
    <row r="19" spans="1:22" x14ac:dyDescent="0.3">
      <c r="A19" s="5">
        <f t="shared" si="0"/>
        <v>9</v>
      </c>
      <c r="B19" s="6" t="s">
        <v>239</v>
      </c>
      <c r="C19" s="6" t="s">
        <v>240</v>
      </c>
      <c r="D19" s="6" t="s">
        <v>103</v>
      </c>
      <c r="E19" s="6"/>
      <c r="F19" s="7">
        <f t="shared" si="1"/>
        <v>0</v>
      </c>
      <c r="G19" s="6">
        <v>1</v>
      </c>
      <c r="H19" s="7">
        <f t="shared" si="2"/>
        <v>192.85714285714286</v>
      </c>
      <c r="I19" s="6">
        <v>1</v>
      </c>
      <c r="J19" s="7">
        <f t="shared" si="3"/>
        <v>190.90909090909091</v>
      </c>
      <c r="K19" s="6"/>
      <c r="L19" s="7">
        <f t="shared" si="4"/>
        <v>0</v>
      </c>
      <c r="M19" s="6"/>
      <c r="N19" s="7">
        <f t="shared" si="5"/>
        <v>0</v>
      </c>
      <c r="O19" s="6">
        <v>2</v>
      </c>
      <c r="P19" s="7">
        <f t="shared" si="6"/>
        <v>184.61538461538461</v>
      </c>
      <c r="Q19" s="6"/>
      <c r="R19" s="7">
        <f t="shared" si="7"/>
        <v>0</v>
      </c>
      <c r="S19" s="8">
        <f>N19+L19+J19+H19+F19+P19+R19</f>
        <v>568.38161838161841</v>
      </c>
      <c r="T19" s="6">
        <f t="shared" si="8"/>
        <v>3</v>
      </c>
      <c r="U19" s="6">
        <f t="shared" si="9"/>
        <v>9</v>
      </c>
      <c r="V19" s="17">
        <f t="shared" si="10"/>
        <v>0.42857142857142855</v>
      </c>
    </row>
    <row r="20" spans="1:22" x14ac:dyDescent="0.3">
      <c r="A20" s="5">
        <f t="shared" si="0"/>
        <v>10</v>
      </c>
      <c r="B20" s="6" t="s">
        <v>241</v>
      </c>
      <c r="C20" s="6" t="s">
        <v>243</v>
      </c>
      <c r="D20" s="6" t="s">
        <v>242</v>
      </c>
      <c r="E20" s="6"/>
      <c r="F20" s="7">
        <f t="shared" si="1"/>
        <v>0</v>
      </c>
      <c r="G20" s="6">
        <v>2</v>
      </c>
      <c r="H20" s="7">
        <f t="shared" si="2"/>
        <v>185.71428571428572</v>
      </c>
      <c r="I20" s="6"/>
      <c r="J20" s="7">
        <f t="shared" si="3"/>
        <v>0</v>
      </c>
      <c r="K20" s="6"/>
      <c r="L20" s="7">
        <f t="shared" si="4"/>
        <v>0</v>
      </c>
      <c r="M20" s="6">
        <v>14</v>
      </c>
      <c r="N20" s="7">
        <f t="shared" si="5"/>
        <v>100</v>
      </c>
      <c r="O20" s="6">
        <v>12</v>
      </c>
      <c r="P20" s="7">
        <f t="shared" si="6"/>
        <v>107.69230769230769</v>
      </c>
      <c r="Q20" s="6">
        <v>9</v>
      </c>
      <c r="R20" s="7">
        <f t="shared" si="7"/>
        <v>137.93103448275863</v>
      </c>
      <c r="S20" s="8">
        <f>N20+L20+J20+H20+F20+P20+R20</f>
        <v>531.33762788935201</v>
      </c>
      <c r="T20" s="6">
        <f t="shared" si="8"/>
        <v>4</v>
      </c>
      <c r="U20" s="6">
        <f t="shared" si="9"/>
        <v>10</v>
      </c>
      <c r="V20" s="17">
        <f t="shared" si="10"/>
        <v>0.5714285714285714</v>
      </c>
    </row>
    <row r="21" spans="1:22" x14ac:dyDescent="0.3">
      <c r="A21" s="5">
        <f t="shared" si="0"/>
        <v>11</v>
      </c>
      <c r="B21" s="6" t="s">
        <v>246</v>
      </c>
      <c r="C21" s="6" t="s">
        <v>247</v>
      </c>
      <c r="D21" s="6" t="s">
        <v>90</v>
      </c>
      <c r="E21" s="6"/>
      <c r="F21" s="7">
        <f t="shared" si="1"/>
        <v>0</v>
      </c>
      <c r="G21" s="6">
        <v>13</v>
      </c>
      <c r="H21" s="20">
        <f t="shared" si="2"/>
        <v>107.14285714285714</v>
      </c>
      <c r="I21" s="6">
        <v>12</v>
      </c>
      <c r="J21" s="7">
        <f t="shared" si="3"/>
        <v>90.909090909090907</v>
      </c>
      <c r="K21" s="6"/>
      <c r="L21" s="7">
        <f t="shared" si="4"/>
        <v>0</v>
      </c>
      <c r="M21" s="6">
        <v>9</v>
      </c>
      <c r="N21" s="20">
        <f t="shared" si="5"/>
        <v>135.71428571428572</v>
      </c>
      <c r="O21" s="6">
        <v>10</v>
      </c>
      <c r="P21" s="20">
        <f t="shared" si="6"/>
        <v>123.07692307692308</v>
      </c>
      <c r="Q21" s="6">
        <v>7</v>
      </c>
      <c r="R21" s="20">
        <f t="shared" si="7"/>
        <v>151.72413793103448</v>
      </c>
      <c r="S21" s="8">
        <f>R21+P21+N21+H21</f>
        <v>517.6582038651004</v>
      </c>
      <c r="T21" s="6">
        <f t="shared" si="8"/>
        <v>5</v>
      </c>
      <c r="U21" s="6">
        <f t="shared" si="9"/>
        <v>11</v>
      </c>
      <c r="V21" s="17">
        <f t="shared" si="10"/>
        <v>0.7142857142857143</v>
      </c>
    </row>
    <row r="22" spans="1:22" x14ac:dyDescent="0.3">
      <c r="A22" s="6">
        <f t="shared" si="0"/>
        <v>12</v>
      </c>
      <c r="B22" s="6" t="s">
        <v>198</v>
      </c>
      <c r="C22" s="6" t="s">
        <v>199</v>
      </c>
      <c r="D22" s="6" t="s">
        <v>90</v>
      </c>
      <c r="E22" s="6">
        <v>11</v>
      </c>
      <c r="F22" s="7">
        <f t="shared" si="1"/>
        <v>30.76923076923077</v>
      </c>
      <c r="G22" s="6"/>
      <c r="H22" s="7">
        <f t="shared" si="2"/>
        <v>0</v>
      </c>
      <c r="I22" s="6">
        <v>7</v>
      </c>
      <c r="J22" s="20">
        <f t="shared" si="3"/>
        <v>136.36363636363637</v>
      </c>
      <c r="K22" s="6">
        <v>12</v>
      </c>
      <c r="L22" s="20">
        <f t="shared" si="4"/>
        <v>66.666666666666671</v>
      </c>
      <c r="M22" s="6">
        <v>8</v>
      </c>
      <c r="N22" s="20">
        <f t="shared" si="5"/>
        <v>142.85714285714286</v>
      </c>
      <c r="O22" s="6">
        <v>7</v>
      </c>
      <c r="P22" s="20">
        <f t="shared" si="6"/>
        <v>146.15384615384616</v>
      </c>
      <c r="Q22" s="6"/>
      <c r="R22" s="7">
        <f t="shared" si="7"/>
        <v>0</v>
      </c>
      <c r="S22" s="8">
        <f>J22+L22+N22+P22</f>
        <v>492.04129204129208</v>
      </c>
      <c r="T22" s="6">
        <f t="shared" si="8"/>
        <v>5</v>
      </c>
      <c r="U22" s="6">
        <f t="shared" si="9"/>
        <v>12</v>
      </c>
      <c r="V22" s="17">
        <f t="shared" si="10"/>
        <v>0.7142857142857143</v>
      </c>
    </row>
    <row r="23" spans="1:22" x14ac:dyDescent="0.3">
      <c r="A23" s="5">
        <f t="shared" si="0"/>
        <v>13</v>
      </c>
      <c r="B23" s="6" t="s">
        <v>193</v>
      </c>
      <c r="C23" s="6" t="s">
        <v>194</v>
      </c>
      <c r="D23" s="6" t="s">
        <v>90</v>
      </c>
      <c r="E23" s="6">
        <v>8</v>
      </c>
      <c r="F23" s="7">
        <f t="shared" si="1"/>
        <v>76.92307692307692</v>
      </c>
      <c r="G23" s="6">
        <v>12</v>
      </c>
      <c r="H23" s="7">
        <f t="shared" si="2"/>
        <v>114.28571428571429</v>
      </c>
      <c r="I23" s="6">
        <v>8</v>
      </c>
      <c r="J23" s="7">
        <f t="shared" si="3"/>
        <v>127.27272727272727</v>
      </c>
      <c r="K23" s="6"/>
      <c r="L23" s="7">
        <f t="shared" si="4"/>
        <v>0</v>
      </c>
      <c r="M23" s="6"/>
      <c r="N23" s="7">
        <f t="shared" si="5"/>
        <v>0</v>
      </c>
      <c r="O23" s="6">
        <v>13</v>
      </c>
      <c r="P23" s="7">
        <f t="shared" si="6"/>
        <v>100</v>
      </c>
      <c r="Q23" s="6"/>
      <c r="R23" s="7">
        <f t="shared" si="7"/>
        <v>0</v>
      </c>
      <c r="S23" s="8">
        <f>N23+L23+J23+H23+F23+P23+R23</f>
        <v>418.48151848151849</v>
      </c>
      <c r="T23" s="6">
        <f t="shared" si="8"/>
        <v>4</v>
      </c>
      <c r="U23" s="6">
        <f t="shared" si="9"/>
        <v>13</v>
      </c>
      <c r="V23" s="17">
        <f t="shared" si="10"/>
        <v>0.5714285714285714</v>
      </c>
    </row>
    <row r="24" spans="1:22" x14ac:dyDescent="0.3">
      <c r="A24" s="5">
        <f t="shared" si="0"/>
        <v>14</v>
      </c>
      <c r="B24" s="6" t="s">
        <v>245</v>
      </c>
      <c r="C24" s="6" t="s">
        <v>133</v>
      </c>
      <c r="D24" s="6" t="s">
        <v>117</v>
      </c>
      <c r="E24" s="6"/>
      <c r="F24" s="7">
        <f t="shared" si="1"/>
        <v>0</v>
      </c>
      <c r="G24" s="6">
        <v>11</v>
      </c>
      <c r="H24" s="20">
        <f t="shared" si="2"/>
        <v>121.42857142857143</v>
      </c>
      <c r="I24" s="6">
        <v>19</v>
      </c>
      <c r="J24" s="7">
        <f t="shared" si="3"/>
        <v>27.272727272727273</v>
      </c>
      <c r="K24" s="6"/>
      <c r="L24" s="7">
        <f t="shared" si="4"/>
        <v>0</v>
      </c>
      <c r="M24" s="6">
        <v>13</v>
      </c>
      <c r="N24" s="20">
        <f t="shared" si="5"/>
        <v>107.14285714285714</v>
      </c>
      <c r="O24" s="6">
        <v>19</v>
      </c>
      <c r="P24" s="20">
        <f t="shared" si="6"/>
        <v>53.846153846153847</v>
      </c>
      <c r="Q24" s="6">
        <v>11</v>
      </c>
      <c r="R24" s="20">
        <f t="shared" si="7"/>
        <v>124.13793103448276</v>
      </c>
      <c r="S24" s="8">
        <f>R24+P24+N24+H24</f>
        <v>406.55551345206516</v>
      </c>
      <c r="T24" s="6">
        <f t="shared" si="8"/>
        <v>5</v>
      </c>
      <c r="U24" s="6">
        <f t="shared" si="9"/>
        <v>14</v>
      </c>
      <c r="V24" s="17">
        <f t="shared" si="10"/>
        <v>0.7142857142857143</v>
      </c>
    </row>
    <row r="25" spans="1:22" x14ac:dyDescent="0.3">
      <c r="A25" s="5">
        <f t="shared" si="0"/>
        <v>15</v>
      </c>
      <c r="B25" s="6" t="s">
        <v>252</v>
      </c>
      <c r="C25" s="6" t="s">
        <v>253</v>
      </c>
      <c r="D25" s="6" t="s">
        <v>117</v>
      </c>
      <c r="E25" s="6"/>
      <c r="F25" s="7">
        <f t="shared" si="1"/>
        <v>0</v>
      </c>
      <c r="G25" s="6">
        <v>17</v>
      </c>
      <c r="H25" s="20">
        <f t="shared" si="2"/>
        <v>78.571428571428569</v>
      </c>
      <c r="I25" s="6">
        <v>16</v>
      </c>
      <c r="J25" s="20">
        <f t="shared" si="3"/>
        <v>54.545454545454547</v>
      </c>
      <c r="K25" s="6"/>
      <c r="L25" s="7">
        <f t="shared" si="4"/>
        <v>0</v>
      </c>
      <c r="M25" s="6">
        <v>19</v>
      </c>
      <c r="N25" s="20">
        <f t="shared" si="5"/>
        <v>64.285714285714292</v>
      </c>
      <c r="O25" s="6">
        <v>19</v>
      </c>
      <c r="P25" s="7">
        <f t="shared" si="6"/>
        <v>53.846153846153847</v>
      </c>
      <c r="Q25" s="6">
        <v>3</v>
      </c>
      <c r="R25" s="20">
        <f t="shared" si="7"/>
        <v>179.31034482758622</v>
      </c>
      <c r="S25" s="8">
        <f>R25+N25+J25+H25</f>
        <v>376.71294223018361</v>
      </c>
      <c r="T25" s="6">
        <f t="shared" si="8"/>
        <v>5</v>
      </c>
      <c r="U25" s="6">
        <f t="shared" si="9"/>
        <v>15</v>
      </c>
      <c r="V25" s="17">
        <f t="shared" si="10"/>
        <v>0.7142857142857143</v>
      </c>
    </row>
    <row r="26" spans="1:22" x14ac:dyDescent="0.3">
      <c r="A26" s="5">
        <f t="shared" si="0"/>
        <v>16</v>
      </c>
      <c r="B26" s="6" t="s">
        <v>250</v>
      </c>
      <c r="C26" s="14" t="s">
        <v>251</v>
      </c>
      <c r="D26" s="6" t="s">
        <v>100</v>
      </c>
      <c r="E26" s="6"/>
      <c r="F26" s="7">
        <f t="shared" si="1"/>
        <v>0</v>
      </c>
      <c r="G26" s="6">
        <v>15</v>
      </c>
      <c r="H26" s="7">
        <f t="shared" si="2"/>
        <v>92.857142857142861</v>
      </c>
      <c r="I26" s="6">
        <v>2</v>
      </c>
      <c r="J26" s="7">
        <f t="shared" si="3"/>
        <v>181.81818181818181</v>
      </c>
      <c r="K26" s="6"/>
      <c r="L26" s="7">
        <f t="shared" si="4"/>
        <v>0</v>
      </c>
      <c r="M26" s="6">
        <v>17</v>
      </c>
      <c r="N26" s="7">
        <f t="shared" si="5"/>
        <v>78.571428571428569</v>
      </c>
      <c r="O26" s="6"/>
      <c r="P26" s="7">
        <f t="shared" si="6"/>
        <v>0</v>
      </c>
      <c r="Q26" s="6"/>
      <c r="R26" s="7">
        <f t="shared" si="7"/>
        <v>0</v>
      </c>
      <c r="S26" s="8">
        <f>N26+L26+J26+H26+F26+P26+R26</f>
        <v>353.2467532467532</v>
      </c>
      <c r="T26" s="6">
        <f t="shared" si="8"/>
        <v>3</v>
      </c>
      <c r="U26" s="6">
        <f t="shared" si="9"/>
        <v>16</v>
      </c>
      <c r="V26" s="17">
        <f t="shared" si="10"/>
        <v>0.42857142857142855</v>
      </c>
    </row>
    <row r="27" spans="1:22" x14ac:dyDescent="0.3">
      <c r="A27" s="5">
        <f t="shared" si="0"/>
        <v>17</v>
      </c>
      <c r="B27" s="6" t="s">
        <v>244</v>
      </c>
      <c r="C27" s="6" t="s">
        <v>182</v>
      </c>
      <c r="D27" s="6" t="s">
        <v>103</v>
      </c>
      <c r="E27" s="6"/>
      <c r="F27" s="7">
        <f t="shared" si="1"/>
        <v>0</v>
      </c>
      <c r="G27" s="6">
        <v>8</v>
      </c>
      <c r="H27" s="7">
        <f t="shared" si="2"/>
        <v>142.85714285714286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>
        <v>17</v>
      </c>
      <c r="P27" s="7">
        <f t="shared" si="6"/>
        <v>69.230769230769226</v>
      </c>
      <c r="Q27" s="6">
        <v>13</v>
      </c>
      <c r="R27" s="7">
        <f t="shared" si="7"/>
        <v>110.34482758620689</v>
      </c>
      <c r="S27" s="8">
        <f>N27+L27+J27+H27+F27+P27+R27</f>
        <v>322.43273967411898</v>
      </c>
      <c r="T27" s="6">
        <f t="shared" si="8"/>
        <v>3</v>
      </c>
      <c r="U27" s="6">
        <f t="shared" si="9"/>
        <v>17</v>
      </c>
      <c r="V27" s="17">
        <f t="shared" si="10"/>
        <v>0.42857142857142855</v>
      </c>
    </row>
    <row r="28" spans="1:22" x14ac:dyDescent="0.3">
      <c r="A28" s="5">
        <f t="shared" si="0"/>
        <v>18</v>
      </c>
      <c r="B28" s="6" t="s">
        <v>248</v>
      </c>
      <c r="C28" s="6" t="s">
        <v>249</v>
      </c>
      <c r="D28" s="6" t="s">
        <v>100</v>
      </c>
      <c r="E28" s="6"/>
      <c r="F28" s="7">
        <f t="shared" si="1"/>
        <v>0</v>
      </c>
      <c r="G28" s="6">
        <v>14</v>
      </c>
      <c r="H28" s="20">
        <f t="shared" si="2"/>
        <v>100</v>
      </c>
      <c r="I28" s="6">
        <v>15</v>
      </c>
      <c r="J28" s="20">
        <f t="shared" si="3"/>
        <v>63.636363636363633</v>
      </c>
      <c r="K28" s="6"/>
      <c r="L28" s="7">
        <f t="shared" si="4"/>
        <v>0</v>
      </c>
      <c r="M28" s="6">
        <v>16</v>
      </c>
      <c r="N28" s="20">
        <f t="shared" si="5"/>
        <v>85.714285714285708</v>
      </c>
      <c r="O28" s="6">
        <v>18</v>
      </c>
      <c r="P28" s="20">
        <f t="shared" si="6"/>
        <v>61.53846153846154</v>
      </c>
      <c r="Q28" s="6">
        <v>20</v>
      </c>
      <c r="R28" s="7">
        <f t="shared" si="7"/>
        <v>62.068965517241381</v>
      </c>
      <c r="S28" s="8">
        <f>H28+J28+N28+P28</f>
        <v>310.8891108891109</v>
      </c>
      <c r="T28" s="6">
        <f t="shared" si="8"/>
        <v>5</v>
      </c>
      <c r="U28" s="6">
        <f t="shared" si="9"/>
        <v>18</v>
      </c>
      <c r="V28" s="17">
        <f t="shared" si="10"/>
        <v>0.7142857142857143</v>
      </c>
    </row>
    <row r="29" spans="1:22" x14ac:dyDescent="0.3">
      <c r="A29" s="5">
        <f t="shared" si="0"/>
        <v>19</v>
      </c>
      <c r="B29" s="6" t="s">
        <v>189</v>
      </c>
      <c r="C29" s="6" t="s">
        <v>190</v>
      </c>
      <c r="D29" s="6" t="s">
        <v>108</v>
      </c>
      <c r="E29" s="6">
        <v>6</v>
      </c>
      <c r="F29" s="7">
        <f t="shared" si="1"/>
        <v>107.69230769230769</v>
      </c>
      <c r="G29" s="6">
        <v>16</v>
      </c>
      <c r="H29" s="7">
        <f t="shared" si="2"/>
        <v>85.714285714285708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>
        <v>12</v>
      </c>
      <c r="R29" s="7">
        <f t="shared" si="7"/>
        <v>117.24137931034483</v>
      </c>
      <c r="S29" s="8">
        <f t="shared" ref="S29:S34" si="11">N29+L29+J29+H29+F29+P29+R29</f>
        <v>310.64797271693823</v>
      </c>
      <c r="T29" s="6">
        <f t="shared" si="8"/>
        <v>3</v>
      </c>
      <c r="U29" s="6">
        <f t="shared" si="9"/>
        <v>19</v>
      </c>
      <c r="V29" s="17">
        <f t="shared" si="10"/>
        <v>0.42857142857142855</v>
      </c>
    </row>
    <row r="30" spans="1:22" x14ac:dyDescent="0.3">
      <c r="A30" s="5">
        <f t="shared" si="0"/>
        <v>20</v>
      </c>
      <c r="B30" s="6" t="s">
        <v>470</v>
      </c>
      <c r="C30" s="6" t="s">
        <v>469</v>
      </c>
      <c r="D30" s="6" t="s">
        <v>117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>
        <v>3</v>
      </c>
      <c r="P30" s="7">
        <f t="shared" si="6"/>
        <v>176.92307692307693</v>
      </c>
      <c r="Q30" s="6">
        <v>10</v>
      </c>
      <c r="R30" s="7">
        <f t="shared" si="7"/>
        <v>131.0344827586207</v>
      </c>
      <c r="S30" s="8">
        <f t="shared" si="11"/>
        <v>307.9575596816976</v>
      </c>
      <c r="T30" s="6">
        <f t="shared" si="8"/>
        <v>2</v>
      </c>
      <c r="U30" s="6">
        <f t="shared" si="9"/>
        <v>20</v>
      </c>
      <c r="V30" s="17">
        <f t="shared" si="10"/>
        <v>0.2857142857142857</v>
      </c>
    </row>
    <row r="31" spans="1:22" x14ac:dyDescent="0.3">
      <c r="A31" s="5">
        <f t="shared" si="0"/>
        <v>21</v>
      </c>
      <c r="B31" s="6" t="s">
        <v>362</v>
      </c>
      <c r="C31" s="6" t="s">
        <v>363</v>
      </c>
      <c r="D31" s="6" t="s">
        <v>359</v>
      </c>
      <c r="E31" s="6"/>
      <c r="F31" s="7">
        <f t="shared" si="1"/>
        <v>0</v>
      </c>
      <c r="G31" s="6"/>
      <c r="H31" s="7">
        <f t="shared" si="2"/>
        <v>0</v>
      </c>
      <c r="I31" s="6">
        <v>20</v>
      </c>
      <c r="J31" s="7">
        <f t="shared" si="3"/>
        <v>18.181818181818183</v>
      </c>
      <c r="K31" s="6"/>
      <c r="L31" s="7">
        <f t="shared" si="4"/>
        <v>0</v>
      </c>
      <c r="M31" s="6">
        <v>12</v>
      </c>
      <c r="N31" s="7">
        <f t="shared" si="5"/>
        <v>114.28571428571429</v>
      </c>
      <c r="O31" s="6">
        <v>22</v>
      </c>
      <c r="P31" s="7">
        <f t="shared" si="6"/>
        <v>30.76923076923077</v>
      </c>
      <c r="Q31" s="6">
        <v>21</v>
      </c>
      <c r="R31" s="7">
        <f t="shared" si="7"/>
        <v>55.172413793103445</v>
      </c>
      <c r="S31" s="8">
        <f t="shared" si="11"/>
        <v>218.40917702986667</v>
      </c>
      <c r="T31" s="6">
        <f t="shared" si="8"/>
        <v>4</v>
      </c>
      <c r="U31" s="6">
        <f t="shared" si="9"/>
        <v>21</v>
      </c>
      <c r="V31" s="17">
        <f t="shared" si="10"/>
        <v>0.5714285714285714</v>
      </c>
    </row>
    <row r="32" spans="1:22" x14ac:dyDescent="0.3">
      <c r="A32" s="5">
        <f t="shared" si="0"/>
        <v>22</v>
      </c>
      <c r="B32" s="6" t="s">
        <v>200</v>
      </c>
      <c r="C32" s="6" t="s">
        <v>201</v>
      </c>
      <c r="D32" s="6" t="s">
        <v>117</v>
      </c>
      <c r="E32" s="6">
        <v>12</v>
      </c>
      <c r="F32" s="7">
        <f t="shared" si="1"/>
        <v>15.384615384615385</v>
      </c>
      <c r="G32" s="6"/>
      <c r="H32" s="7">
        <f t="shared" si="2"/>
        <v>0</v>
      </c>
      <c r="I32" s="6">
        <v>14</v>
      </c>
      <c r="J32" s="7">
        <f t="shared" si="3"/>
        <v>72.727272727272734</v>
      </c>
      <c r="K32" s="6"/>
      <c r="L32" s="7">
        <f t="shared" si="4"/>
        <v>0</v>
      </c>
      <c r="M32" s="6"/>
      <c r="N32" s="7">
        <f t="shared" si="5"/>
        <v>0</v>
      </c>
      <c r="O32" s="6">
        <v>23</v>
      </c>
      <c r="P32" s="7">
        <f t="shared" si="6"/>
        <v>23.076923076923077</v>
      </c>
      <c r="Q32" s="6">
        <v>18</v>
      </c>
      <c r="R32" s="7">
        <f t="shared" si="7"/>
        <v>75.862068965517238</v>
      </c>
      <c r="S32" s="8">
        <f t="shared" si="11"/>
        <v>187.05088015432844</v>
      </c>
      <c r="T32" s="6">
        <f t="shared" si="8"/>
        <v>4</v>
      </c>
      <c r="U32" s="6">
        <f t="shared" si="9"/>
        <v>22</v>
      </c>
      <c r="V32" s="17">
        <f t="shared" si="10"/>
        <v>0.5714285714285714</v>
      </c>
    </row>
    <row r="33" spans="1:22" x14ac:dyDescent="0.3">
      <c r="A33" s="5">
        <f t="shared" si="0"/>
        <v>23</v>
      </c>
      <c r="B33" s="6" t="s">
        <v>254</v>
      </c>
      <c r="C33" s="6" t="s">
        <v>255</v>
      </c>
      <c r="D33" s="6" t="s">
        <v>117</v>
      </c>
      <c r="E33" s="6"/>
      <c r="F33" s="7">
        <f t="shared" si="1"/>
        <v>0</v>
      </c>
      <c r="G33" s="6">
        <v>18</v>
      </c>
      <c r="H33" s="7">
        <f t="shared" si="2"/>
        <v>71.428571428571431</v>
      </c>
      <c r="I33" s="6">
        <v>11</v>
      </c>
      <c r="J33" s="7">
        <f t="shared" si="3"/>
        <v>100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11"/>
        <v>171.42857142857144</v>
      </c>
      <c r="T33" s="6">
        <f t="shared" si="8"/>
        <v>2</v>
      </c>
      <c r="U33" s="6">
        <f t="shared" si="9"/>
        <v>23</v>
      </c>
      <c r="V33" s="17">
        <f t="shared" si="10"/>
        <v>0.2857142857142857</v>
      </c>
    </row>
    <row r="34" spans="1:22" x14ac:dyDescent="0.3">
      <c r="A34" s="5">
        <f t="shared" si="0"/>
        <v>24</v>
      </c>
      <c r="B34" s="6" t="s">
        <v>426</v>
      </c>
      <c r="C34" s="6" t="s">
        <v>427</v>
      </c>
      <c r="D34" s="6" t="s">
        <v>91</v>
      </c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4"/>
        <v>0</v>
      </c>
      <c r="M34" s="6">
        <v>18</v>
      </c>
      <c r="N34" s="7">
        <f t="shared" si="5"/>
        <v>71.428571428571431</v>
      </c>
      <c r="O34" s="6">
        <v>14</v>
      </c>
      <c r="P34" s="7">
        <f t="shared" si="6"/>
        <v>92.307692307692307</v>
      </c>
      <c r="Q34" s="6"/>
      <c r="R34" s="7">
        <f t="shared" si="7"/>
        <v>0</v>
      </c>
      <c r="S34" s="8">
        <f t="shared" si="11"/>
        <v>163.73626373626374</v>
      </c>
      <c r="T34" s="6">
        <f t="shared" si="8"/>
        <v>2</v>
      </c>
      <c r="U34" s="6">
        <f t="shared" si="9"/>
        <v>24</v>
      </c>
      <c r="V34" s="17">
        <f t="shared" si="10"/>
        <v>0.2857142857142857</v>
      </c>
    </row>
    <row r="35" spans="1:22" x14ac:dyDescent="0.3">
      <c r="A35" s="5">
        <f t="shared" si="0"/>
        <v>25</v>
      </c>
      <c r="B35" s="6" t="s">
        <v>197</v>
      </c>
      <c r="C35" s="6" t="s">
        <v>119</v>
      </c>
      <c r="D35" s="6" t="s">
        <v>90</v>
      </c>
      <c r="E35" s="6">
        <v>10</v>
      </c>
      <c r="F35" s="20">
        <f t="shared" si="1"/>
        <v>46.153846153846153</v>
      </c>
      <c r="G35" s="6">
        <v>20</v>
      </c>
      <c r="H35" s="20">
        <f t="shared" si="2"/>
        <v>57.142857142857146</v>
      </c>
      <c r="I35" s="6">
        <v>21</v>
      </c>
      <c r="J35" s="7">
        <f t="shared" si="3"/>
        <v>9.0909090909090917</v>
      </c>
      <c r="K35" s="6"/>
      <c r="L35" s="7">
        <f t="shared" si="4"/>
        <v>0</v>
      </c>
      <c r="M35" s="6">
        <v>25</v>
      </c>
      <c r="N35" s="20">
        <f t="shared" si="5"/>
        <v>21.428571428571427</v>
      </c>
      <c r="O35" s="6">
        <v>21</v>
      </c>
      <c r="P35" s="20">
        <f t="shared" si="6"/>
        <v>38.46153846153846</v>
      </c>
      <c r="Q35" s="6"/>
      <c r="R35" s="7">
        <f t="shared" si="7"/>
        <v>0</v>
      </c>
      <c r="S35" s="8">
        <f>F35+H35+N35+P35</f>
        <v>163.1868131868132</v>
      </c>
      <c r="T35" s="6">
        <f t="shared" si="8"/>
        <v>5</v>
      </c>
      <c r="U35" s="6">
        <f t="shared" si="9"/>
        <v>25</v>
      </c>
      <c r="V35" s="17">
        <f t="shared" si="10"/>
        <v>0.7142857142857143</v>
      </c>
    </row>
    <row r="36" spans="1:22" x14ac:dyDescent="0.3">
      <c r="A36" s="5">
        <f t="shared" si="0"/>
        <v>26</v>
      </c>
      <c r="B36" s="6" t="s">
        <v>471</v>
      </c>
      <c r="C36" s="6" t="s">
        <v>472</v>
      </c>
      <c r="D36" s="6" t="s">
        <v>117</v>
      </c>
      <c r="E36" s="6"/>
      <c r="F36" s="7">
        <f t="shared" si="1"/>
        <v>0</v>
      </c>
      <c r="G36" s="6"/>
      <c r="H36" s="7">
        <f t="shared" si="2"/>
        <v>0</v>
      </c>
      <c r="I36" s="6"/>
      <c r="J36" s="7">
        <f t="shared" si="3"/>
        <v>0</v>
      </c>
      <c r="K36" s="6"/>
      <c r="L36" s="7">
        <f t="shared" si="4"/>
        <v>0</v>
      </c>
      <c r="M36" s="6"/>
      <c r="N36" s="7">
        <f t="shared" si="5"/>
        <v>0</v>
      </c>
      <c r="O36" s="6">
        <v>16</v>
      </c>
      <c r="P36" s="7">
        <f t="shared" si="6"/>
        <v>76.92307692307692</v>
      </c>
      <c r="Q36" s="6">
        <v>19</v>
      </c>
      <c r="R36" s="7">
        <f t="shared" si="7"/>
        <v>68.965517241379317</v>
      </c>
      <c r="S36" s="8">
        <f t="shared" ref="S36:S67" si="12">N36+L36+J36+H36+F36+P36+R36</f>
        <v>145.88859416445624</v>
      </c>
      <c r="T36" s="6">
        <f t="shared" si="8"/>
        <v>2</v>
      </c>
      <c r="U36" s="6">
        <f t="shared" si="9"/>
        <v>26</v>
      </c>
      <c r="V36" s="17">
        <f t="shared" si="10"/>
        <v>0.2857142857142857</v>
      </c>
    </row>
    <row r="37" spans="1:22" x14ac:dyDescent="0.3">
      <c r="A37" s="5">
        <f t="shared" si="0"/>
        <v>27</v>
      </c>
      <c r="B37" s="6" t="s">
        <v>437</v>
      </c>
      <c r="C37" s="6" t="s">
        <v>438</v>
      </c>
      <c r="D37" s="6" t="s">
        <v>91</v>
      </c>
      <c r="E37" s="6"/>
      <c r="F37" s="7">
        <f t="shared" si="1"/>
        <v>0</v>
      </c>
      <c r="G37" s="6"/>
      <c r="H37" s="7">
        <f t="shared" si="2"/>
        <v>0</v>
      </c>
      <c r="I37" s="6"/>
      <c r="J37" s="7">
        <f>IF(I37=0,,($K$9-I37)*$K$7*100/$K$9)</f>
        <v>0</v>
      </c>
      <c r="K37" s="6"/>
      <c r="L37" s="7">
        <f t="shared" si="4"/>
        <v>0</v>
      </c>
      <c r="M37" s="6">
        <v>10</v>
      </c>
      <c r="N37" s="7">
        <f t="shared" si="5"/>
        <v>128.57142857142858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12"/>
        <v>128.57142857142858</v>
      </c>
      <c r="T37" s="6">
        <f t="shared" si="8"/>
        <v>1</v>
      </c>
      <c r="U37" s="6">
        <f t="shared" si="9"/>
        <v>27</v>
      </c>
      <c r="V37" s="17">
        <f t="shared" si="10"/>
        <v>0.14285714285714285</v>
      </c>
    </row>
    <row r="38" spans="1:22" x14ac:dyDescent="0.3">
      <c r="A38" s="5">
        <f t="shared" si="0"/>
        <v>28</v>
      </c>
      <c r="B38" s="6" t="s">
        <v>432</v>
      </c>
      <c r="C38" s="6" t="s">
        <v>433</v>
      </c>
      <c r="D38" s="6" t="s">
        <v>91</v>
      </c>
      <c r="E38" s="6"/>
      <c r="F38" s="7">
        <f t="shared" si="1"/>
        <v>0</v>
      </c>
      <c r="G38" s="6"/>
      <c r="H38" s="7">
        <f t="shared" si="2"/>
        <v>0</v>
      </c>
      <c r="I38" s="6"/>
      <c r="J38" s="7">
        <f>IF(I38=0,,($K$9-I38)*$K$7*100/$K$9)</f>
        <v>0</v>
      </c>
      <c r="K38" s="6"/>
      <c r="L38" s="7">
        <f t="shared" si="4"/>
        <v>0</v>
      </c>
      <c r="M38" s="6">
        <v>23</v>
      </c>
      <c r="N38" s="7">
        <f t="shared" si="5"/>
        <v>35.714285714285715</v>
      </c>
      <c r="O38" s="6">
        <v>14</v>
      </c>
      <c r="P38" s="7">
        <f t="shared" si="6"/>
        <v>92.307692307692307</v>
      </c>
      <c r="Q38" s="6"/>
      <c r="R38" s="7">
        <f t="shared" si="7"/>
        <v>0</v>
      </c>
      <c r="S38" s="8">
        <f t="shared" si="12"/>
        <v>128.02197802197801</v>
      </c>
      <c r="T38" s="6">
        <f t="shared" si="8"/>
        <v>2</v>
      </c>
      <c r="U38" s="6">
        <f t="shared" si="9"/>
        <v>28</v>
      </c>
      <c r="V38" s="17">
        <f t="shared" si="10"/>
        <v>0.2857142857142857</v>
      </c>
    </row>
    <row r="39" spans="1:22" x14ac:dyDescent="0.3">
      <c r="A39" s="5">
        <f t="shared" si="0"/>
        <v>29</v>
      </c>
      <c r="B39" s="6" t="s">
        <v>439</v>
      </c>
      <c r="C39" s="6" t="s">
        <v>440</v>
      </c>
      <c r="D39" s="6" t="s">
        <v>91</v>
      </c>
      <c r="E39" s="6"/>
      <c r="F39" s="7">
        <f t="shared" si="1"/>
        <v>0</v>
      </c>
      <c r="G39" s="6"/>
      <c r="H39" s="7">
        <f t="shared" si="2"/>
        <v>0</v>
      </c>
      <c r="I39" s="6"/>
      <c r="J39" s="7">
        <f>IF(I39=0,,($K$9-I39)*$K$7*100/$K$9)</f>
        <v>0</v>
      </c>
      <c r="K39" s="6"/>
      <c r="L39" s="7">
        <f t="shared" si="4"/>
        <v>0</v>
      </c>
      <c r="M39" s="6">
        <v>11</v>
      </c>
      <c r="N39" s="7">
        <f t="shared" si="5"/>
        <v>121.42857142857143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12"/>
        <v>121.42857142857143</v>
      </c>
      <c r="T39" s="6">
        <f t="shared" si="8"/>
        <v>1</v>
      </c>
      <c r="U39" s="6">
        <f t="shared" si="9"/>
        <v>29</v>
      </c>
      <c r="V39" s="17">
        <f t="shared" si="10"/>
        <v>0.14285714285714285</v>
      </c>
    </row>
    <row r="40" spans="1:22" x14ac:dyDescent="0.3">
      <c r="A40" s="5">
        <f t="shared" si="0"/>
        <v>30</v>
      </c>
      <c r="B40" s="6" t="s">
        <v>441</v>
      </c>
      <c r="C40" s="6" t="s">
        <v>442</v>
      </c>
      <c r="D40" s="6" t="s">
        <v>100</v>
      </c>
      <c r="E40" s="6"/>
      <c r="F40" s="7">
        <f t="shared" si="1"/>
        <v>0</v>
      </c>
      <c r="G40" s="6"/>
      <c r="H40" s="7">
        <f t="shared" si="2"/>
        <v>0</v>
      </c>
      <c r="I40" s="6"/>
      <c r="J40" s="7">
        <f>IF(I40=0,,($K$9-I40)*$K$7*100/$K$9)</f>
        <v>0</v>
      </c>
      <c r="K40" s="6"/>
      <c r="L40" s="7">
        <f t="shared" si="4"/>
        <v>0</v>
      </c>
      <c r="M40" s="6">
        <v>15</v>
      </c>
      <c r="N40" s="7">
        <f t="shared" si="5"/>
        <v>92.857142857142861</v>
      </c>
      <c r="O40" s="6"/>
      <c r="P40" s="7">
        <f t="shared" si="6"/>
        <v>0</v>
      </c>
      <c r="Q40" s="6">
        <v>25</v>
      </c>
      <c r="R40" s="7">
        <f t="shared" si="7"/>
        <v>27.586206896551722</v>
      </c>
      <c r="S40" s="8">
        <f t="shared" si="12"/>
        <v>120.44334975369458</v>
      </c>
      <c r="T40" s="6">
        <f t="shared" si="8"/>
        <v>2</v>
      </c>
      <c r="U40" s="6">
        <f t="shared" si="9"/>
        <v>30</v>
      </c>
      <c r="V40" s="17">
        <f t="shared" si="10"/>
        <v>0.2857142857142857</v>
      </c>
    </row>
    <row r="41" spans="1:22" x14ac:dyDescent="0.3">
      <c r="A41" s="5">
        <f t="shared" si="0"/>
        <v>31</v>
      </c>
      <c r="B41" s="6" t="s">
        <v>364</v>
      </c>
      <c r="C41" s="6" t="s">
        <v>365</v>
      </c>
      <c r="D41" s="6" t="s">
        <v>366</v>
      </c>
      <c r="E41" s="6"/>
      <c r="F41" s="7">
        <f t="shared" si="1"/>
        <v>0</v>
      </c>
      <c r="G41" s="6"/>
      <c r="H41" s="7">
        <f t="shared" si="2"/>
        <v>0</v>
      </c>
      <c r="I41" s="6">
        <v>22</v>
      </c>
      <c r="J41" s="7">
        <v>4.5</v>
      </c>
      <c r="K41" s="6"/>
      <c r="L41" s="7">
        <f t="shared" si="4"/>
        <v>0</v>
      </c>
      <c r="M41" s="6">
        <v>26</v>
      </c>
      <c r="N41" s="7">
        <f t="shared" si="5"/>
        <v>14.285714285714286</v>
      </c>
      <c r="O41" s="6"/>
      <c r="P41" s="7">
        <f t="shared" si="6"/>
        <v>0</v>
      </c>
      <c r="Q41" s="6">
        <v>16</v>
      </c>
      <c r="R41" s="7">
        <f t="shared" si="7"/>
        <v>89.65517241379311</v>
      </c>
      <c r="S41" s="8">
        <f t="shared" si="12"/>
        <v>108.44088669950739</v>
      </c>
      <c r="T41" s="6">
        <f t="shared" si="8"/>
        <v>3</v>
      </c>
      <c r="U41" s="6">
        <f t="shared" si="9"/>
        <v>31</v>
      </c>
      <c r="V41" s="17">
        <f t="shared" si="10"/>
        <v>0.42857142857142855</v>
      </c>
    </row>
    <row r="42" spans="1:22" x14ac:dyDescent="0.3">
      <c r="A42" s="5">
        <f t="shared" si="0"/>
        <v>32</v>
      </c>
      <c r="B42" s="6" t="s">
        <v>549</v>
      </c>
      <c r="C42" s="6" t="s">
        <v>99</v>
      </c>
      <c r="D42" s="6" t="s">
        <v>117</v>
      </c>
      <c r="E42" s="6"/>
      <c r="F42" s="7"/>
      <c r="G42" s="6"/>
      <c r="H42" s="7"/>
      <c r="I42" s="6"/>
      <c r="J42" s="7"/>
      <c r="K42" s="6"/>
      <c r="L42" s="7"/>
      <c r="M42" s="6"/>
      <c r="N42" s="7"/>
      <c r="O42" s="6"/>
      <c r="P42" s="7"/>
      <c r="Q42" s="6">
        <v>14</v>
      </c>
      <c r="R42" s="7">
        <f t="shared" si="7"/>
        <v>103.44827586206897</v>
      </c>
      <c r="S42" s="8">
        <f t="shared" si="12"/>
        <v>103.44827586206897</v>
      </c>
      <c r="T42" s="6">
        <f t="shared" si="8"/>
        <v>1</v>
      </c>
      <c r="U42" s="6">
        <f t="shared" si="9"/>
        <v>32</v>
      </c>
      <c r="V42" s="17">
        <f t="shared" si="10"/>
        <v>0.14285714285714285</v>
      </c>
    </row>
    <row r="43" spans="1:22" x14ac:dyDescent="0.3">
      <c r="A43" s="5">
        <f t="shared" ref="A43:A67" si="13">U43</f>
        <v>33</v>
      </c>
      <c r="B43" s="6" t="s">
        <v>262</v>
      </c>
      <c r="C43" s="6" t="s">
        <v>243</v>
      </c>
      <c r="D43" s="6" t="s">
        <v>117</v>
      </c>
      <c r="E43" s="6"/>
      <c r="F43" s="7">
        <f>IF(E43=0,,($E$9-E43)*$E$7*100/$E$9)</f>
        <v>0</v>
      </c>
      <c r="G43" s="6">
        <v>24</v>
      </c>
      <c r="H43" s="7">
        <f t="shared" ref="H43:H48" si="14">IF(G43=0,,($G$9-G43)*$G$7*100/$G$9)</f>
        <v>28.571428571428573</v>
      </c>
      <c r="I43" s="6">
        <v>17</v>
      </c>
      <c r="J43" s="7">
        <f t="shared" ref="J43:J48" si="15">IF(I43=0,,($I$9-I43)*$I$7*100/$I$9)</f>
        <v>45.454545454545453</v>
      </c>
      <c r="K43" s="6"/>
      <c r="L43" s="7">
        <f t="shared" ref="L43:L48" si="16">IF(K43=0,,($K$9-K43)*$K$7*100/$K$9)</f>
        <v>0</v>
      </c>
      <c r="M43" s="6"/>
      <c r="N43" s="7">
        <f t="shared" ref="N43:N48" si="17">IF(M43=0,,($M$9-M43)*$M$7*100/$M$9)</f>
        <v>0</v>
      </c>
      <c r="O43" s="6"/>
      <c r="P43" s="7">
        <f t="shared" ref="P43:P48" si="18">IF(O43=0,,($O$9-O43)*$O$7*100/$O$9)</f>
        <v>0</v>
      </c>
      <c r="Q43" s="6">
        <v>26</v>
      </c>
      <c r="R43" s="7">
        <f t="shared" ref="R43:R65" si="19">IF(Q43=0,,($Q$9-Q43)*$Q$7*100/$Q$9)</f>
        <v>20.689655172413794</v>
      </c>
      <c r="S43" s="8">
        <f t="shared" si="12"/>
        <v>94.715629198387816</v>
      </c>
      <c r="T43" s="6">
        <f t="shared" ref="T43:T67" si="20">COUNTA(E43,G43,I43,K43,M43,O43,Q43)</f>
        <v>3</v>
      </c>
      <c r="U43" s="6">
        <f t="shared" ref="U43:U67" si="21">ROW(B43)-10</f>
        <v>33</v>
      </c>
      <c r="V43" s="17">
        <f t="shared" ref="V43:V67" si="22">T43/$G$3</f>
        <v>0.42857142857142855</v>
      </c>
    </row>
    <row r="44" spans="1:22" x14ac:dyDescent="0.3">
      <c r="A44" s="5">
        <f t="shared" si="13"/>
        <v>34</v>
      </c>
      <c r="B44" s="6" t="s">
        <v>256</v>
      </c>
      <c r="C44" s="6" t="s">
        <v>257</v>
      </c>
      <c r="D44" s="6" t="s">
        <v>103</v>
      </c>
      <c r="E44" s="6"/>
      <c r="F44" s="7">
        <f>IF(E44=0,,($E$9-E44)*$E$7*100/$E$9)</f>
        <v>0</v>
      </c>
      <c r="G44" s="6">
        <v>19</v>
      </c>
      <c r="H44" s="7">
        <f t="shared" si="14"/>
        <v>64.285714285714292</v>
      </c>
      <c r="I44" s="6"/>
      <c r="J44" s="7">
        <f t="shared" si="15"/>
        <v>0</v>
      </c>
      <c r="K44" s="6"/>
      <c r="L44" s="7">
        <f t="shared" si="16"/>
        <v>0</v>
      </c>
      <c r="M44" s="6"/>
      <c r="N44" s="7">
        <f t="shared" si="17"/>
        <v>0</v>
      </c>
      <c r="O44" s="6"/>
      <c r="P44" s="7">
        <f t="shared" si="18"/>
        <v>0</v>
      </c>
      <c r="Q44" s="6"/>
      <c r="R44" s="7">
        <f t="shared" si="19"/>
        <v>0</v>
      </c>
      <c r="S44" s="8">
        <f t="shared" si="12"/>
        <v>64.285714285714292</v>
      </c>
      <c r="T44" s="6">
        <f t="shared" si="20"/>
        <v>1</v>
      </c>
      <c r="U44" s="6">
        <f t="shared" si="21"/>
        <v>34</v>
      </c>
      <c r="V44" s="17">
        <f t="shared" si="22"/>
        <v>0.14285714285714285</v>
      </c>
    </row>
    <row r="45" spans="1:22" x14ac:dyDescent="0.3">
      <c r="A45" s="5">
        <f t="shared" si="13"/>
        <v>35</v>
      </c>
      <c r="B45" s="6" t="s">
        <v>428</v>
      </c>
      <c r="C45" s="6" t="s">
        <v>266</v>
      </c>
      <c r="D45" s="6" t="s">
        <v>91</v>
      </c>
      <c r="E45" s="6"/>
      <c r="F45" s="7">
        <f>IF(E45=0,,($E$9-E45)*$E$7*100/$E$9)</f>
        <v>0</v>
      </c>
      <c r="G45" s="6"/>
      <c r="H45" s="7">
        <f t="shared" si="14"/>
        <v>0</v>
      </c>
      <c r="I45" s="6"/>
      <c r="J45" s="7">
        <f t="shared" si="15"/>
        <v>0</v>
      </c>
      <c r="K45" s="6"/>
      <c r="L45" s="7">
        <f t="shared" si="16"/>
        <v>0</v>
      </c>
      <c r="M45" s="6">
        <v>19</v>
      </c>
      <c r="N45" s="7">
        <f t="shared" si="17"/>
        <v>64.285714285714292</v>
      </c>
      <c r="O45" s="6"/>
      <c r="P45" s="7">
        <f t="shared" si="18"/>
        <v>0</v>
      </c>
      <c r="Q45" s="6"/>
      <c r="R45" s="7">
        <f t="shared" si="19"/>
        <v>0</v>
      </c>
      <c r="S45" s="8">
        <f t="shared" si="12"/>
        <v>64.285714285714292</v>
      </c>
      <c r="T45" s="6">
        <f t="shared" si="20"/>
        <v>1</v>
      </c>
      <c r="U45" s="6">
        <f t="shared" si="21"/>
        <v>35</v>
      </c>
      <c r="V45" s="17">
        <f t="shared" si="22"/>
        <v>0.14285714285714285</v>
      </c>
    </row>
    <row r="46" spans="1:22" x14ac:dyDescent="0.3">
      <c r="A46" s="5">
        <f t="shared" si="13"/>
        <v>36</v>
      </c>
      <c r="B46" s="6" t="s">
        <v>202</v>
      </c>
      <c r="C46" s="6" t="s">
        <v>203</v>
      </c>
      <c r="D46" s="6" t="s">
        <v>108</v>
      </c>
      <c r="E46" s="6">
        <v>13</v>
      </c>
      <c r="F46" s="7">
        <f>15/2</f>
        <v>7.5</v>
      </c>
      <c r="G46" s="6"/>
      <c r="H46" s="7">
        <f t="shared" si="14"/>
        <v>0</v>
      </c>
      <c r="I46" s="6"/>
      <c r="J46" s="7">
        <f t="shared" si="15"/>
        <v>0</v>
      </c>
      <c r="K46" s="6"/>
      <c r="L46" s="7">
        <f t="shared" si="16"/>
        <v>0</v>
      </c>
      <c r="M46" s="6">
        <v>21</v>
      </c>
      <c r="N46" s="7">
        <f t="shared" si="17"/>
        <v>50</v>
      </c>
      <c r="O46" s="6"/>
      <c r="P46" s="7">
        <f t="shared" si="18"/>
        <v>0</v>
      </c>
      <c r="Q46" s="6"/>
      <c r="R46" s="7">
        <f t="shared" si="19"/>
        <v>0</v>
      </c>
      <c r="S46" s="8">
        <f t="shared" si="12"/>
        <v>57.5</v>
      </c>
      <c r="T46" s="6">
        <f t="shared" si="20"/>
        <v>2</v>
      </c>
      <c r="U46" s="6">
        <f t="shared" si="21"/>
        <v>36</v>
      </c>
      <c r="V46" s="17">
        <f t="shared" si="22"/>
        <v>0.2857142857142857</v>
      </c>
    </row>
    <row r="47" spans="1:22" x14ac:dyDescent="0.3">
      <c r="A47" s="5">
        <f t="shared" si="13"/>
        <v>37</v>
      </c>
      <c r="B47" s="6" t="s">
        <v>429</v>
      </c>
      <c r="C47" s="6" t="s">
        <v>430</v>
      </c>
      <c r="D47" s="6" t="s">
        <v>359</v>
      </c>
      <c r="E47" s="6"/>
      <c r="F47" s="7">
        <f>IF(E47=0,,($E$9-E47)*$E$7*100/$E$9)</f>
        <v>0</v>
      </c>
      <c r="G47" s="6"/>
      <c r="H47" s="7">
        <f t="shared" si="14"/>
        <v>0</v>
      </c>
      <c r="I47" s="6"/>
      <c r="J47" s="7">
        <f t="shared" si="15"/>
        <v>0</v>
      </c>
      <c r="K47" s="6"/>
      <c r="L47" s="7">
        <f t="shared" si="16"/>
        <v>0</v>
      </c>
      <c r="M47" s="6">
        <v>20</v>
      </c>
      <c r="N47" s="7">
        <f t="shared" si="17"/>
        <v>57.142857142857146</v>
      </c>
      <c r="O47" s="6"/>
      <c r="P47" s="7">
        <f t="shared" si="18"/>
        <v>0</v>
      </c>
      <c r="Q47" s="6"/>
      <c r="R47" s="7">
        <f t="shared" si="19"/>
        <v>0</v>
      </c>
      <c r="S47" s="8">
        <f t="shared" si="12"/>
        <v>57.142857142857146</v>
      </c>
      <c r="T47" s="6">
        <f t="shared" si="20"/>
        <v>1</v>
      </c>
      <c r="U47" s="6">
        <f t="shared" si="21"/>
        <v>37</v>
      </c>
      <c r="V47" s="17">
        <f t="shared" si="22"/>
        <v>0.14285714285714285</v>
      </c>
    </row>
    <row r="48" spans="1:22" x14ac:dyDescent="0.3">
      <c r="A48" s="5">
        <f t="shared" si="13"/>
        <v>38</v>
      </c>
      <c r="B48" s="6" t="s">
        <v>258</v>
      </c>
      <c r="C48" s="6" t="s">
        <v>259</v>
      </c>
      <c r="D48" s="6" t="s">
        <v>142</v>
      </c>
      <c r="E48" s="6"/>
      <c r="F48" s="7">
        <f>IF(E48=0,,($E$9-E48)*$E$7*100/$E$9)</f>
        <v>0</v>
      </c>
      <c r="G48" s="6">
        <v>21</v>
      </c>
      <c r="H48" s="7">
        <f t="shared" si="14"/>
        <v>50</v>
      </c>
      <c r="I48" s="6"/>
      <c r="J48" s="7">
        <f t="shared" si="15"/>
        <v>0</v>
      </c>
      <c r="K48" s="6"/>
      <c r="L48" s="7">
        <f t="shared" si="16"/>
        <v>0</v>
      </c>
      <c r="M48" s="6"/>
      <c r="N48" s="7">
        <f t="shared" si="17"/>
        <v>0</v>
      </c>
      <c r="O48" s="6"/>
      <c r="P48" s="7">
        <f t="shared" si="18"/>
        <v>0</v>
      </c>
      <c r="Q48" s="6"/>
      <c r="R48" s="7">
        <f t="shared" si="19"/>
        <v>0</v>
      </c>
      <c r="S48" s="8">
        <f t="shared" si="12"/>
        <v>50</v>
      </c>
      <c r="T48" s="6">
        <f t="shared" si="20"/>
        <v>1</v>
      </c>
      <c r="U48" s="6">
        <f t="shared" si="21"/>
        <v>38</v>
      </c>
      <c r="V48" s="17">
        <f t="shared" si="22"/>
        <v>0.14285714285714285</v>
      </c>
    </row>
    <row r="49" spans="1:22" x14ac:dyDescent="0.3">
      <c r="A49" s="5">
        <f t="shared" si="13"/>
        <v>39</v>
      </c>
      <c r="B49" s="6" t="s">
        <v>551</v>
      </c>
      <c r="C49" s="6" t="s">
        <v>550</v>
      </c>
      <c r="D49" s="6" t="s">
        <v>117</v>
      </c>
      <c r="E49" s="6"/>
      <c r="F49" s="7"/>
      <c r="G49" s="6"/>
      <c r="H49" s="7"/>
      <c r="I49" s="6"/>
      <c r="J49" s="7"/>
      <c r="K49" s="6"/>
      <c r="L49" s="7"/>
      <c r="M49" s="6"/>
      <c r="N49" s="7"/>
      <c r="O49" s="6"/>
      <c r="P49" s="7"/>
      <c r="Q49" s="6">
        <v>22</v>
      </c>
      <c r="R49" s="7">
        <f t="shared" si="19"/>
        <v>48.275862068965516</v>
      </c>
      <c r="S49" s="8">
        <f t="shared" si="12"/>
        <v>48.275862068965516</v>
      </c>
      <c r="T49" s="6">
        <f t="shared" si="20"/>
        <v>1</v>
      </c>
      <c r="U49" s="6">
        <f t="shared" si="21"/>
        <v>39</v>
      </c>
      <c r="V49" s="17">
        <f t="shared" si="22"/>
        <v>0.14285714285714285</v>
      </c>
    </row>
    <row r="50" spans="1:22" x14ac:dyDescent="0.3">
      <c r="A50" s="5">
        <f t="shared" si="13"/>
        <v>40</v>
      </c>
      <c r="B50" s="6" t="s">
        <v>405</v>
      </c>
      <c r="C50" s="6" t="s">
        <v>119</v>
      </c>
      <c r="D50" s="6" t="s">
        <v>103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7">
        <f>IF(I50=0,,($I$9-I50)*$I$7*100/$I$9)</f>
        <v>0</v>
      </c>
      <c r="K50" s="6">
        <v>14</v>
      </c>
      <c r="L50" s="7">
        <f>IF(K50=0,,($K$9-K50)*$K$7*100/$K$9)</f>
        <v>44.444444444444443</v>
      </c>
      <c r="M50" s="6"/>
      <c r="N50" s="7">
        <f>IF(M50=0,,($M$9-M50)*$M$7*100/$M$9)</f>
        <v>0</v>
      </c>
      <c r="O50" s="6"/>
      <c r="P50" s="7">
        <f>IF(O50=0,,($O$9-O50)*$O$7*100/$O$9)</f>
        <v>0</v>
      </c>
      <c r="Q50" s="6"/>
      <c r="R50" s="7">
        <f t="shared" si="19"/>
        <v>0</v>
      </c>
      <c r="S50" s="8">
        <f t="shared" si="12"/>
        <v>44.444444444444443</v>
      </c>
      <c r="T50" s="6">
        <f t="shared" si="20"/>
        <v>1</v>
      </c>
      <c r="U50" s="6">
        <f t="shared" si="21"/>
        <v>40</v>
      </c>
      <c r="V50" s="17">
        <f t="shared" si="22"/>
        <v>0.14285714285714285</v>
      </c>
    </row>
    <row r="51" spans="1:22" x14ac:dyDescent="0.3">
      <c r="A51" s="5">
        <f t="shared" si="13"/>
        <v>41</v>
      </c>
      <c r="B51" s="6" t="s">
        <v>258</v>
      </c>
      <c r="C51" s="6" t="s">
        <v>260</v>
      </c>
      <c r="D51" s="6" t="s">
        <v>142</v>
      </c>
      <c r="E51" s="6"/>
      <c r="F51" s="7">
        <f>IF(E51=0,,($E$9-E51)*$E$7*100/$E$9)</f>
        <v>0</v>
      </c>
      <c r="G51" s="6">
        <v>22</v>
      </c>
      <c r="H51" s="7">
        <f>IF(G51=0,,($G$9-G51)*$G$7*100/$G$9)</f>
        <v>42.857142857142854</v>
      </c>
      <c r="I51" s="6"/>
      <c r="J51" s="7">
        <f>IF(I51=0,,($I$9-I51)*$I$7*100/$I$9)</f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>IF(O51=0,,($O$9-O51)*$O$7*100/$O$9)</f>
        <v>0</v>
      </c>
      <c r="Q51" s="6"/>
      <c r="R51" s="7">
        <f t="shared" si="19"/>
        <v>0</v>
      </c>
      <c r="S51" s="8">
        <f t="shared" si="12"/>
        <v>42.857142857142854</v>
      </c>
      <c r="T51" s="6">
        <f t="shared" si="20"/>
        <v>1</v>
      </c>
      <c r="U51" s="6">
        <f t="shared" si="21"/>
        <v>41</v>
      </c>
      <c r="V51" s="17">
        <f t="shared" si="22"/>
        <v>0.14285714285714285</v>
      </c>
    </row>
    <row r="52" spans="1:22" x14ac:dyDescent="0.3">
      <c r="A52" s="5">
        <f t="shared" si="13"/>
        <v>42</v>
      </c>
      <c r="B52" s="6" t="s">
        <v>431</v>
      </c>
      <c r="C52" s="6" t="s">
        <v>298</v>
      </c>
      <c r="D52" s="6" t="s">
        <v>366</v>
      </c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7">
        <f>IF(I52=0,,($K$9-I52)*$K$7*100/$K$9)</f>
        <v>0</v>
      </c>
      <c r="K52" s="6"/>
      <c r="L52" s="7">
        <f>IF(K52=0,,($K$9-K52)*$K$7*100/$K$9)</f>
        <v>0</v>
      </c>
      <c r="M52" s="6">
        <v>22</v>
      </c>
      <c r="N52" s="7">
        <f>IF(M52=0,,($M$9-M52)*$M$7*100/$M$9)</f>
        <v>42.857142857142854</v>
      </c>
      <c r="O52" s="6"/>
      <c r="P52" s="7">
        <f>IF(O52=0,,($O$9-O52)*$O$7*100/$O$9)</f>
        <v>0</v>
      </c>
      <c r="Q52" s="6"/>
      <c r="R52" s="7">
        <f t="shared" si="19"/>
        <v>0</v>
      </c>
      <c r="S52" s="8">
        <f t="shared" si="12"/>
        <v>42.857142857142854</v>
      </c>
      <c r="T52" s="6">
        <f t="shared" si="20"/>
        <v>1</v>
      </c>
      <c r="U52" s="6">
        <f t="shared" si="21"/>
        <v>42</v>
      </c>
      <c r="V52" s="17">
        <f t="shared" si="22"/>
        <v>0.14285714285714285</v>
      </c>
    </row>
    <row r="53" spans="1:22" x14ac:dyDescent="0.3">
      <c r="A53" s="5">
        <f t="shared" si="13"/>
        <v>43</v>
      </c>
      <c r="B53" s="6" t="s">
        <v>556</v>
      </c>
      <c r="C53" s="6" t="s">
        <v>557</v>
      </c>
      <c r="D53" s="6" t="s">
        <v>91</v>
      </c>
      <c r="E53" s="6"/>
      <c r="F53" s="7"/>
      <c r="G53" s="6"/>
      <c r="H53" s="7"/>
      <c r="I53" s="6"/>
      <c r="J53" s="7"/>
      <c r="K53" s="6"/>
      <c r="L53" s="7"/>
      <c r="M53" s="6"/>
      <c r="N53" s="7"/>
      <c r="O53" s="6"/>
      <c r="P53" s="7"/>
      <c r="Q53" s="6">
        <v>23</v>
      </c>
      <c r="R53" s="7">
        <f t="shared" si="19"/>
        <v>41.379310344827587</v>
      </c>
      <c r="S53" s="8">
        <f t="shared" si="12"/>
        <v>41.379310344827587</v>
      </c>
      <c r="T53" s="6">
        <f t="shared" si="20"/>
        <v>1</v>
      </c>
      <c r="U53" s="6">
        <f t="shared" si="21"/>
        <v>43</v>
      </c>
      <c r="V53" s="17">
        <f t="shared" si="22"/>
        <v>0.14285714285714285</v>
      </c>
    </row>
    <row r="54" spans="1:22" x14ac:dyDescent="0.3">
      <c r="A54" s="5">
        <f t="shared" si="13"/>
        <v>44</v>
      </c>
      <c r="B54" s="6" t="s">
        <v>476</v>
      </c>
      <c r="C54" s="6" t="s">
        <v>477</v>
      </c>
      <c r="D54" s="6" t="s">
        <v>100</v>
      </c>
      <c r="E54" s="6"/>
      <c r="F54" s="7">
        <f t="shared" ref="F54:F59" si="23">IF(E54=0,,($E$9-E54)*$E$7*100/$E$9)</f>
        <v>0</v>
      </c>
      <c r="G54" s="6"/>
      <c r="H54" s="7">
        <f t="shared" ref="H54:H59" si="24">IF(G54=0,,($G$9-G54)*$G$7*100/$G$9)</f>
        <v>0</v>
      </c>
      <c r="I54" s="6"/>
      <c r="J54" s="7">
        <f>IF(I54=0,,($I$9-I54)*$I$7*100/$I$9)</f>
        <v>0</v>
      </c>
      <c r="K54" s="6"/>
      <c r="L54" s="7">
        <f t="shared" ref="L54:L59" si="25">IF(K54=0,,($K$9-K54)*$K$7*100/$K$9)</f>
        <v>0</v>
      </c>
      <c r="M54" s="6"/>
      <c r="N54" s="7">
        <f t="shared" ref="N54:N59" si="26">IF(M54=0,,($M$9-M54)*$M$7*100/$M$9)</f>
        <v>0</v>
      </c>
      <c r="O54" s="6">
        <v>26</v>
      </c>
      <c r="P54" s="7">
        <f>8/2</f>
        <v>4</v>
      </c>
      <c r="Q54" s="6">
        <v>24</v>
      </c>
      <c r="R54" s="7">
        <f t="shared" si="19"/>
        <v>34.482758620689658</v>
      </c>
      <c r="S54" s="8">
        <f t="shared" si="12"/>
        <v>38.482758620689658</v>
      </c>
      <c r="T54" s="6">
        <f t="shared" si="20"/>
        <v>2</v>
      </c>
      <c r="U54" s="6">
        <f t="shared" si="21"/>
        <v>44</v>
      </c>
      <c r="V54" s="17">
        <f t="shared" si="22"/>
        <v>0.2857142857142857</v>
      </c>
    </row>
    <row r="55" spans="1:22" x14ac:dyDescent="0.3">
      <c r="A55" s="5">
        <f t="shared" si="13"/>
        <v>45</v>
      </c>
      <c r="B55" s="6" t="s">
        <v>263</v>
      </c>
      <c r="C55" s="6" t="s">
        <v>127</v>
      </c>
      <c r="D55" s="6" t="s">
        <v>100</v>
      </c>
      <c r="E55" s="6"/>
      <c r="F55" s="7">
        <f t="shared" si="23"/>
        <v>0</v>
      </c>
      <c r="G55" s="6">
        <v>25</v>
      </c>
      <c r="H55" s="7">
        <f t="shared" si="24"/>
        <v>21.428571428571427</v>
      </c>
      <c r="I55" s="6"/>
      <c r="J55" s="7">
        <f>IF(I55=0,,($I$9-I55)*$I$7*100/$I$9)</f>
        <v>0</v>
      </c>
      <c r="K55" s="6"/>
      <c r="L55" s="7">
        <f t="shared" si="25"/>
        <v>0</v>
      </c>
      <c r="M55" s="6"/>
      <c r="N55" s="7">
        <f t="shared" si="26"/>
        <v>0</v>
      </c>
      <c r="O55" s="6">
        <v>24</v>
      </c>
      <c r="P55" s="7">
        <f>IF(O55=0,,($O$9-O55)*$O$7*100/$O$9)</f>
        <v>15.384615384615385</v>
      </c>
      <c r="Q55" s="6"/>
      <c r="R55" s="7">
        <f t="shared" si="19"/>
        <v>0</v>
      </c>
      <c r="S55" s="8">
        <f t="shared" si="12"/>
        <v>36.81318681318681</v>
      </c>
      <c r="T55" s="6">
        <f t="shared" si="20"/>
        <v>2</v>
      </c>
      <c r="U55" s="6">
        <f t="shared" si="21"/>
        <v>45</v>
      </c>
      <c r="V55" s="17">
        <f t="shared" si="22"/>
        <v>0.2857142857142857</v>
      </c>
    </row>
    <row r="56" spans="1:22" x14ac:dyDescent="0.3">
      <c r="A56" s="6">
        <f t="shared" si="13"/>
        <v>46</v>
      </c>
      <c r="B56" s="6" t="s">
        <v>360</v>
      </c>
      <c r="C56" s="6" t="s">
        <v>361</v>
      </c>
      <c r="D56" s="6" t="s">
        <v>205</v>
      </c>
      <c r="E56" s="6"/>
      <c r="F56" s="7">
        <f t="shared" si="23"/>
        <v>0</v>
      </c>
      <c r="G56" s="6"/>
      <c r="H56" s="7">
        <f t="shared" si="24"/>
        <v>0</v>
      </c>
      <c r="I56" s="6">
        <v>18</v>
      </c>
      <c r="J56" s="7">
        <f>IF(I56=0,,($I$9-I56)*$I$7*100/$I$9)</f>
        <v>36.363636363636367</v>
      </c>
      <c r="K56" s="6"/>
      <c r="L56" s="7">
        <f t="shared" si="25"/>
        <v>0</v>
      </c>
      <c r="M56" s="6"/>
      <c r="N56" s="7">
        <f t="shared" si="26"/>
        <v>0</v>
      </c>
      <c r="O56" s="6"/>
      <c r="P56" s="7">
        <f>IF(O56=0,,($O$9-O56)*$O$7*100/$O$9)</f>
        <v>0</v>
      </c>
      <c r="Q56" s="6"/>
      <c r="R56" s="7">
        <f t="shared" si="19"/>
        <v>0</v>
      </c>
      <c r="S56" s="8">
        <f t="shared" si="12"/>
        <v>36.363636363636367</v>
      </c>
      <c r="T56" s="6">
        <f t="shared" si="20"/>
        <v>1</v>
      </c>
      <c r="U56" s="6">
        <f t="shared" si="21"/>
        <v>46</v>
      </c>
      <c r="V56" s="17">
        <f t="shared" si="22"/>
        <v>0.14285714285714285</v>
      </c>
    </row>
    <row r="57" spans="1:22" x14ac:dyDescent="0.3">
      <c r="A57" s="5">
        <f t="shared" si="13"/>
        <v>47</v>
      </c>
      <c r="B57" s="6" t="s">
        <v>261</v>
      </c>
      <c r="C57" s="6" t="s">
        <v>240</v>
      </c>
      <c r="D57" s="6" t="s">
        <v>142</v>
      </c>
      <c r="E57" s="6"/>
      <c r="F57" s="7">
        <f t="shared" si="23"/>
        <v>0</v>
      </c>
      <c r="G57" s="6">
        <v>23</v>
      </c>
      <c r="H57" s="7">
        <f t="shared" si="24"/>
        <v>35.714285714285715</v>
      </c>
      <c r="I57" s="6"/>
      <c r="J57" s="7">
        <f>IF(I57=0,,($I$9-I57)*$I$7*100/$I$9)</f>
        <v>0</v>
      </c>
      <c r="K57" s="6"/>
      <c r="L57" s="7">
        <f t="shared" si="25"/>
        <v>0</v>
      </c>
      <c r="M57" s="6"/>
      <c r="N57" s="7">
        <f t="shared" si="26"/>
        <v>0</v>
      </c>
      <c r="O57" s="6"/>
      <c r="P57" s="7">
        <f>IF(O57=0,,($O$9-O57)*$O$7*100/$O$9)</f>
        <v>0</v>
      </c>
      <c r="Q57" s="6"/>
      <c r="R57" s="7">
        <f t="shared" si="19"/>
        <v>0</v>
      </c>
      <c r="S57" s="8">
        <f t="shared" si="12"/>
        <v>35.714285714285715</v>
      </c>
      <c r="T57" s="6">
        <f t="shared" si="20"/>
        <v>1</v>
      </c>
      <c r="U57" s="6">
        <f t="shared" si="21"/>
        <v>47</v>
      </c>
      <c r="V57" s="17">
        <f t="shared" si="22"/>
        <v>0.14285714285714285</v>
      </c>
    </row>
    <row r="58" spans="1:22" x14ac:dyDescent="0.3">
      <c r="A58" s="5">
        <f t="shared" si="13"/>
        <v>48</v>
      </c>
      <c r="B58" s="6" t="s">
        <v>434</v>
      </c>
      <c r="C58" s="6" t="s">
        <v>435</v>
      </c>
      <c r="D58" s="6" t="s">
        <v>91</v>
      </c>
      <c r="E58" s="6"/>
      <c r="F58" s="7">
        <f t="shared" si="23"/>
        <v>0</v>
      </c>
      <c r="G58" s="6"/>
      <c r="H58" s="7">
        <f t="shared" si="24"/>
        <v>0</v>
      </c>
      <c r="I58" s="6"/>
      <c r="J58" s="7">
        <f>IF(I58=0,,($K$9-I58)*$K$7*100/$K$9)</f>
        <v>0</v>
      </c>
      <c r="K58" s="6"/>
      <c r="L58" s="7">
        <f t="shared" si="25"/>
        <v>0</v>
      </c>
      <c r="M58" s="6">
        <v>24</v>
      </c>
      <c r="N58" s="7">
        <f t="shared" si="26"/>
        <v>28.571428571428573</v>
      </c>
      <c r="O58" s="6"/>
      <c r="P58" s="7">
        <f>IF(O58=0,,($O$9-O58)*$O$7*100/$O$9)</f>
        <v>0</v>
      </c>
      <c r="Q58" s="6"/>
      <c r="R58" s="7">
        <f t="shared" si="19"/>
        <v>0</v>
      </c>
      <c r="S58" s="8">
        <f t="shared" si="12"/>
        <v>28.571428571428573</v>
      </c>
      <c r="T58" s="6">
        <f t="shared" si="20"/>
        <v>1</v>
      </c>
      <c r="U58" s="6">
        <f t="shared" si="21"/>
        <v>48</v>
      </c>
      <c r="V58" s="17">
        <f t="shared" si="22"/>
        <v>0.14285714285714285</v>
      </c>
    </row>
    <row r="59" spans="1:22" x14ac:dyDescent="0.3">
      <c r="A59" s="5">
        <f t="shared" si="13"/>
        <v>49</v>
      </c>
      <c r="B59" s="6" t="s">
        <v>264</v>
      </c>
      <c r="C59" s="6" t="s">
        <v>115</v>
      </c>
      <c r="D59" s="6" t="s">
        <v>242</v>
      </c>
      <c r="E59" s="6"/>
      <c r="F59" s="7">
        <f t="shared" si="23"/>
        <v>0</v>
      </c>
      <c r="G59" s="6">
        <v>26</v>
      </c>
      <c r="H59" s="7">
        <f t="shared" si="24"/>
        <v>14.285714285714286</v>
      </c>
      <c r="I59" s="6"/>
      <c r="J59" s="7">
        <f>IF(I59=0,,($I$9-I59)*$I$7*100/$I$9)</f>
        <v>0</v>
      </c>
      <c r="K59" s="6"/>
      <c r="L59" s="7">
        <f t="shared" si="25"/>
        <v>0</v>
      </c>
      <c r="M59" s="6"/>
      <c r="N59" s="7">
        <f t="shared" si="26"/>
        <v>0</v>
      </c>
      <c r="O59" s="6"/>
      <c r="P59" s="7">
        <f>IF(O59=0,,($O$9-O59)*$O$7*100/$O$9)</f>
        <v>0</v>
      </c>
      <c r="Q59" s="6"/>
      <c r="R59" s="7">
        <f t="shared" si="19"/>
        <v>0</v>
      </c>
      <c r="S59" s="8">
        <f t="shared" si="12"/>
        <v>14.285714285714286</v>
      </c>
      <c r="T59" s="6">
        <f t="shared" si="20"/>
        <v>1</v>
      </c>
      <c r="U59" s="6">
        <f t="shared" si="21"/>
        <v>49</v>
      </c>
      <c r="V59" s="17">
        <f t="shared" si="22"/>
        <v>0.14285714285714285</v>
      </c>
    </row>
    <row r="60" spans="1:22" x14ac:dyDescent="0.3">
      <c r="A60" s="5">
        <f t="shared" si="13"/>
        <v>50</v>
      </c>
      <c r="B60" s="6" t="s">
        <v>552</v>
      </c>
      <c r="C60" s="6" t="s">
        <v>553</v>
      </c>
      <c r="D60" s="6" t="s">
        <v>117</v>
      </c>
      <c r="E60" s="6"/>
      <c r="F60" s="7"/>
      <c r="G60" s="6"/>
      <c r="H60" s="7"/>
      <c r="I60" s="6"/>
      <c r="J60" s="7"/>
      <c r="K60" s="6"/>
      <c r="L60" s="7"/>
      <c r="M60" s="6"/>
      <c r="N60" s="7"/>
      <c r="O60" s="6"/>
      <c r="P60" s="7"/>
      <c r="Q60" s="6">
        <v>27</v>
      </c>
      <c r="R60" s="7">
        <f t="shared" si="19"/>
        <v>13.793103448275861</v>
      </c>
      <c r="S60" s="8">
        <f t="shared" si="12"/>
        <v>13.793103448275861</v>
      </c>
      <c r="T60" s="6">
        <f t="shared" si="20"/>
        <v>1</v>
      </c>
      <c r="U60" s="6">
        <f t="shared" si="21"/>
        <v>50</v>
      </c>
      <c r="V60" s="17">
        <f t="shared" si="22"/>
        <v>0.14285714285714285</v>
      </c>
    </row>
    <row r="61" spans="1:22" x14ac:dyDescent="0.3">
      <c r="A61" s="5">
        <f t="shared" si="13"/>
        <v>51</v>
      </c>
      <c r="B61" s="6" t="s">
        <v>473</v>
      </c>
      <c r="C61" s="6" t="s">
        <v>474</v>
      </c>
      <c r="D61" s="6" t="s">
        <v>475</v>
      </c>
      <c r="E61" s="6"/>
      <c r="F61" s="7">
        <f>IF(E61=0,,($E$9-E61)*$E$7*100/$E$9)</f>
        <v>0</v>
      </c>
      <c r="G61" s="6"/>
      <c r="H61" s="7">
        <f>IF(G61=0,,($G$9-G61)*$G$7*100/$G$9)</f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>IF(M61=0,,($M$9-M61)*$M$7*100/$M$9)</f>
        <v>0</v>
      </c>
      <c r="O61" s="6">
        <v>25</v>
      </c>
      <c r="P61" s="7">
        <f>IF(O61=0,,($O$9-O61)*$O$7*100/$O$9)</f>
        <v>7.6923076923076925</v>
      </c>
      <c r="Q61" s="6"/>
      <c r="R61" s="7">
        <f t="shared" si="19"/>
        <v>0</v>
      </c>
      <c r="S61" s="8">
        <f t="shared" si="12"/>
        <v>7.6923076923076925</v>
      </c>
      <c r="T61" s="6">
        <f t="shared" si="20"/>
        <v>1</v>
      </c>
      <c r="U61" s="6">
        <f t="shared" si="21"/>
        <v>51</v>
      </c>
      <c r="V61" s="17">
        <f t="shared" si="22"/>
        <v>0.14285714285714285</v>
      </c>
    </row>
    <row r="62" spans="1:22" x14ac:dyDescent="0.3">
      <c r="A62" s="5">
        <f t="shared" si="13"/>
        <v>52</v>
      </c>
      <c r="B62" s="6" t="s">
        <v>420</v>
      </c>
      <c r="C62" s="6" t="s">
        <v>436</v>
      </c>
      <c r="D62" s="6" t="s">
        <v>366</v>
      </c>
      <c r="E62" s="6"/>
      <c r="F62" s="7">
        <f>IF(E62=0,,($E$9-E62)*$E$7*100/$E$9)</f>
        <v>0</v>
      </c>
      <c r="G62" s="6"/>
      <c r="H62" s="7">
        <f>IF(G62=0,,($G$9-G62)*$G$7*100/$G$9)</f>
        <v>0</v>
      </c>
      <c r="I62" s="6"/>
      <c r="J62" s="7">
        <f>IF(I62=0,,($K$9-I62)*$K$7*100/$K$9)</f>
        <v>0</v>
      </c>
      <c r="K62" s="6"/>
      <c r="L62" s="7">
        <f>IF(K62=0,,($K$9-K62)*$K$7*100/$K$9)</f>
        <v>0</v>
      </c>
      <c r="M62" s="6">
        <v>27</v>
      </c>
      <c r="N62" s="7">
        <f>IF(M62=0,,($M$9-M62)*$M$7*100/$M$9)</f>
        <v>7.1428571428571432</v>
      </c>
      <c r="O62" s="6"/>
      <c r="P62" s="7">
        <f>IF(O62=0,,($O$9-O62)*$O$7*100/$O$9)</f>
        <v>0</v>
      </c>
      <c r="Q62" s="6"/>
      <c r="R62" s="7">
        <f t="shared" si="19"/>
        <v>0</v>
      </c>
      <c r="S62" s="8">
        <f t="shared" si="12"/>
        <v>7.1428571428571432</v>
      </c>
      <c r="T62" s="6">
        <f t="shared" si="20"/>
        <v>1</v>
      </c>
      <c r="U62" s="6">
        <f t="shared" si="21"/>
        <v>52</v>
      </c>
      <c r="V62" s="17">
        <f t="shared" si="22"/>
        <v>0.14285714285714285</v>
      </c>
    </row>
    <row r="63" spans="1:22" x14ac:dyDescent="0.3">
      <c r="A63" s="5">
        <f t="shared" si="13"/>
        <v>53</v>
      </c>
      <c r="B63" s="6" t="s">
        <v>265</v>
      </c>
      <c r="C63" s="6" t="s">
        <v>266</v>
      </c>
      <c r="D63" s="6" t="s">
        <v>242</v>
      </c>
      <c r="E63" s="6"/>
      <c r="F63" s="7">
        <f>IF(E63=0,,($E$9-E63)*$E$7*100/$E$9)</f>
        <v>0</v>
      </c>
      <c r="G63" s="6">
        <v>27</v>
      </c>
      <c r="H63" s="7">
        <f>IF(G63=0,,($G$9-G63)*$G$7*100/$G$9)</f>
        <v>7.1428571428571432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>IF(M63=0,,($M$9-M63)*$M$7*100/$M$9)</f>
        <v>0</v>
      </c>
      <c r="O63" s="6"/>
      <c r="P63" s="7">
        <f>IF(O63=0,,($O$9-O63)*$O$7*100/$O$9)</f>
        <v>0</v>
      </c>
      <c r="Q63" s="6"/>
      <c r="R63" s="7">
        <f t="shared" si="19"/>
        <v>0</v>
      </c>
      <c r="S63" s="8">
        <f t="shared" si="12"/>
        <v>7.1428571428571432</v>
      </c>
      <c r="T63" s="6">
        <f t="shared" si="20"/>
        <v>1</v>
      </c>
      <c r="U63" s="6">
        <f t="shared" si="21"/>
        <v>53</v>
      </c>
      <c r="V63" s="17">
        <f t="shared" si="22"/>
        <v>0.14285714285714285</v>
      </c>
    </row>
    <row r="64" spans="1:22" x14ac:dyDescent="0.3">
      <c r="A64" s="5">
        <f t="shared" si="13"/>
        <v>54</v>
      </c>
      <c r="B64" s="6" t="s">
        <v>554</v>
      </c>
      <c r="C64" s="6" t="s">
        <v>555</v>
      </c>
      <c r="D64" s="6" t="s">
        <v>117</v>
      </c>
      <c r="E64" s="6"/>
      <c r="F64" s="7"/>
      <c r="G64" s="6"/>
      <c r="H64" s="7"/>
      <c r="I64" s="6"/>
      <c r="J64" s="7"/>
      <c r="K64" s="6"/>
      <c r="L64" s="7"/>
      <c r="M64" s="6"/>
      <c r="N64" s="7"/>
      <c r="O64" s="6"/>
      <c r="P64" s="7"/>
      <c r="Q64" s="6">
        <v>28</v>
      </c>
      <c r="R64" s="7">
        <f t="shared" si="19"/>
        <v>6.8965517241379306</v>
      </c>
      <c r="S64" s="8">
        <f t="shared" si="12"/>
        <v>6.8965517241379306</v>
      </c>
      <c r="T64" s="6">
        <f t="shared" si="20"/>
        <v>1</v>
      </c>
      <c r="U64" s="6">
        <f t="shared" si="21"/>
        <v>54</v>
      </c>
      <c r="V64" s="17">
        <f t="shared" si="22"/>
        <v>0.14285714285714285</v>
      </c>
    </row>
    <row r="65" spans="1:22" x14ac:dyDescent="0.3">
      <c r="A65" s="5">
        <f t="shared" si="13"/>
        <v>55</v>
      </c>
      <c r="B65" s="6" t="s">
        <v>406</v>
      </c>
      <c r="C65" s="6" t="s">
        <v>407</v>
      </c>
      <c r="D65" s="6" t="s">
        <v>103</v>
      </c>
      <c r="E65" s="6"/>
      <c r="F65" s="7">
        <f>IF(E65=0,,($E$9-E65)*$E$7*100/$E$9)</f>
        <v>0</v>
      </c>
      <c r="G65" s="6"/>
      <c r="H65" s="7">
        <f>IF(G65=0,,($G$9-G65)*$G$7*100/$G$9)</f>
        <v>0</v>
      </c>
      <c r="I65" s="6"/>
      <c r="J65" s="7">
        <f>IF(I65=0,,($I$9-I65)*$I$7*100/$I$9)</f>
        <v>0</v>
      </c>
      <c r="K65" s="6">
        <v>18</v>
      </c>
      <c r="L65" s="7">
        <f>11/2</f>
        <v>5.5</v>
      </c>
      <c r="M65" s="6"/>
      <c r="N65" s="7">
        <f>IF(M65=0,,($M$9-M65)*$M$7*100/$M$9)</f>
        <v>0</v>
      </c>
      <c r="O65" s="6"/>
      <c r="P65" s="7">
        <f>IF(O65=0,,($O$9-O65)*$O$7*100/$O$9)</f>
        <v>0</v>
      </c>
      <c r="Q65" s="6"/>
      <c r="R65" s="7">
        <f t="shared" si="19"/>
        <v>0</v>
      </c>
      <c r="S65" s="8">
        <f t="shared" si="12"/>
        <v>5.5</v>
      </c>
      <c r="T65" s="6">
        <f t="shared" si="20"/>
        <v>1</v>
      </c>
      <c r="U65" s="6">
        <f t="shared" si="21"/>
        <v>55</v>
      </c>
      <c r="V65" s="17">
        <f t="shared" si="22"/>
        <v>0.14285714285714285</v>
      </c>
    </row>
    <row r="66" spans="1:22" x14ac:dyDescent="0.3">
      <c r="A66" s="5">
        <f t="shared" si="13"/>
        <v>56</v>
      </c>
      <c r="B66" s="6" t="s">
        <v>558</v>
      </c>
      <c r="C66" s="6" t="s">
        <v>255</v>
      </c>
      <c r="D66" s="6" t="s">
        <v>205</v>
      </c>
      <c r="E66" s="6"/>
      <c r="F66" s="7"/>
      <c r="G66" s="6"/>
      <c r="H66" s="7"/>
      <c r="I66" s="6"/>
      <c r="J66" s="7"/>
      <c r="K66" s="6"/>
      <c r="L66" s="7"/>
      <c r="M66" s="6"/>
      <c r="N66" s="7"/>
      <c r="O66" s="6"/>
      <c r="P66" s="7"/>
      <c r="Q66" s="6">
        <v>29</v>
      </c>
      <c r="R66" s="7">
        <f>7/2</f>
        <v>3.5</v>
      </c>
      <c r="S66" s="8">
        <f t="shared" si="12"/>
        <v>3.5</v>
      </c>
      <c r="T66" s="6">
        <f t="shared" si="20"/>
        <v>1</v>
      </c>
      <c r="U66" s="6">
        <f t="shared" si="21"/>
        <v>56</v>
      </c>
      <c r="V66" s="17">
        <f t="shared" si="22"/>
        <v>0.14285714285714285</v>
      </c>
    </row>
    <row r="67" spans="1:22" x14ac:dyDescent="0.3">
      <c r="A67" s="5">
        <f t="shared" si="13"/>
        <v>57</v>
      </c>
      <c r="B67" s="6" t="s">
        <v>267</v>
      </c>
      <c r="C67" s="6" t="s">
        <v>268</v>
      </c>
      <c r="D67" s="6" t="s">
        <v>142</v>
      </c>
      <c r="E67" s="6"/>
      <c r="F67" s="7">
        <f>IF(E67=0,,($E$9-E67)*$E$7*100/$E$9)</f>
        <v>0</v>
      </c>
      <c r="G67" s="6">
        <v>28</v>
      </c>
      <c r="H67" s="7">
        <f>7/2</f>
        <v>3.5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>IF(O67=0,,($O$9-O67)*$O$7*100/$O$9)</f>
        <v>0</v>
      </c>
      <c r="Q67" s="6"/>
      <c r="R67" s="7">
        <f>IF(Q67=0,,($Q$9-Q67)*$Q$7*100/$Q$9)</f>
        <v>0</v>
      </c>
      <c r="S67" s="8">
        <f t="shared" si="12"/>
        <v>3.5</v>
      </c>
      <c r="T67" s="6">
        <f t="shared" si="20"/>
        <v>1</v>
      </c>
      <c r="U67" s="6">
        <f t="shared" si="21"/>
        <v>57</v>
      </c>
      <c r="V67" s="17">
        <f t="shared" si="22"/>
        <v>0.14285714285714285</v>
      </c>
    </row>
    <row r="68" spans="1:22" x14ac:dyDescent="0.3">
      <c r="A68" s="29" t="s">
        <v>18</v>
      </c>
      <c r="B68" s="29"/>
      <c r="C68" s="30"/>
      <c r="E68">
        <f>COUNTA(E11:E67)</f>
        <v>13</v>
      </c>
      <c r="G68">
        <f>COUNTA(G11:G67)</f>
        <v>28</v>
      </c>
      <c r="I68">
        <f>COUNTA(I11:I67)</f>
        <v>22</v>
      </c>
      <c r="K68">
        <f>COUNTA(K11:K67)</f>
        <v>6</v>
      </c>
      <c r="M68">
        <f>COUNTA(M11:M67)</f>
        <v>28</v>
      </c>
      <c r="O68">
        <f>COUNTA(O11:O67)</f>
        <v>26</v>
      </c>
      <c r="Q68">
        <f>COUNTA(Q11:Q67)</f>
        <v>29</v>
      </c>
    </row>
    <row r="69" spans="1:22" x14ac:dyDescent="0.3">
      <c r="A69" s="32" t="s">
        <v>40</v>
      </c>
      <c r="B69" s="32"/>
      <c r="C69" s="32"/>
      <c r="E69" s="16">
        <f>E68/$G$2</f>
        <v>0.22807017543859648</v>
      </c>
      <c r="G69" s="16">
        <f>G68/$G$2</f>
        <v>0.49122807017543857</v>
      </c>
      <c r="I69" s="16">
        <f>I68/$G$2</f>
        <v>0.38596491228070173</v>
      </c>
      <c r="K69" s="16">
        <f>K68/$G$2</f>
        <v>0.10526315789473684</v>
      </c>
      <c r="M69" s="16">
        <f>M68/$G$2</f>
        <v>0.49122807017543857</v>
      </c>
      <c r="O69" s="16">
        <f>O68/$G$2</f>
        <v>0.45614035087719296</v>
      </c>
      <c r="Q69" s="16">
        <f>Q68/$G$2</f>
        <v>0.50877192982456143</v>
      </c>
    </row>
  </sheetData>
  <sortState xmlns:xlrd2="http://schemas.microsoft.com/office/spreadsheetml/2017/richdata2" ref="A11:V67">
    <sortCondition descending="1" ref="S11:S67"/>
    <sortCondition ref="B11:B67"/>
    <sortCondition ref="C11:C67"/>
  </sortState>
  <mergeCells count="33">
    <mergeCell ref="A69:C69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68:C68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69"/>
  <sheetViews>
    <sheetView zoomScale="66" zoomScaleNormal="66" workbookViewId="0">
      <pane xSplit="3" ySplit="10" topLeftCell="D23" activePane="bottomRight" state="frozenSplit"/>
      <selection activeCell="D26" sqref="D26"/>
      <selection pane="topRight" activeCell="D26" sqref="D26"/>
      <selection pane="bottomLeft" activeCell="D26" sqref="D26"/>
      <selection pane="bottomRight" activeCell="J75" sqref="J75"/>
    </sheetView>
  </sheetViews>
  <sheetFormatPr baseColWidth="10" defaultRowHeight="14.4" x14ac:dyDescent="0.3"/>
  <cols>
    <col min="1" max="1" width="25.33203125" bestFit="1" customWidth="1"/>
    <col min="2" max="2" width="40.4414062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17.109375" bestFit="1" customWidth="1"/>
    <col min="21" max="21" width="25.33203125" bestFit="1" customWidth="1"/>
    <col min="22" max="22" width="28.109375" bestFit="1" customWidth="1"/>
  </cols>
  <sheetData>
    <row r="1" spans="1:19" ht="31.2" x14ac:dyDescent="0.6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3">
      <c r="E2" s="33" t="s">
        <v>37</v>
      </c>
      <c r="F2" s="33"/>
      <c r="G2" s="15">
        <f>COUNTA(B11:B67)</f>
        <v>57</v>
      </c>
    </row>
    <row r="3" spans="1:19" x14ac:dyDescent="0.3">
      <c r="B3" s="2"/>
      <c r="E3" s="33" t="s">
        <v>38</v>
      </c>
      <c r="F3" s="33"/>
      <c r="G3" s="15">
        <f>COUNTA(E8:J8)</f>
        <v>3</v>
      </c>
    </row>
    <row r="4" spans="1:19" x14ac:dyDescent="0.3">
      <c r="B4" s="2"/>
      <c r="C4" s="3"/>
    </row>
    <row r="6" spans="1:19" x14ac:dyDescent="0.3">
      <c r="D6" s="1" t="s">
        <v>0</v>
      </c>
      <c r="E6" s="25" t="s">
        <v>49</v>
      </c>
      <c r="F6" s="26"/>
      <c r="G6" s="28" t="s">
        <v>463</v>
      </c>
      <c r="H6" s="28"/>
      <c r="I6" s="28" t="s">
        <v>26</v>
      </c>
      <c r="J6" s="28"/>
    </row>
    <row r="7" spans="1:19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</row>
    <row r="8" spans="1:19" x14ac:dyDescent="0.3">
      <c r="D8" s="1" t="s">
        <v>1</v>
      </c>
      <c r="E8" s="34">
        <v>45263</v>
      </c>
      <c r="F8" s="35"/>
      <c r="G8" s="31">
        <v>45333</v>
      </c>
      <c r="H8" s="31"/>
      <c r="I8" s="31">
        <v>45389</v>
      </c>
      <c r="J8" s="31"/>
    </row>
    <row r="9" spans="1:19" x14ac:dyDescent="0.3">
      <c r="D9" s="1" t="s">
        <v>2</v>
      </c>
      <c r="E9" s="25">
        <v>28</v>
      </c>
      <c r="F9" s="26"/>
      <c r="G9" s="28">
        <v>26</v>
      </c>
      <c r="H9" s="28"/>
      <c r="I9" s="28">
        <v>29</v>
      </c>
      <c r="J9" s="28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39</v>
      </c>
      <c r="M10" s="1" t="s">
        <v>9</v>
      </c>
      <c r="N10" s="1" t="s">
        <v>41</v>
      </c>
    </row>
    <row r="11" spans="1:19" x14ac:dyDescent="0.3">
      <c r="A11" s="5">
        <f t="shared" ref="A11:A42" si="0">M11</f>
        <v>1</v>
      </c>
      <c r="B11" s="6" t="s">
        <v>187</v>
      </c>
      <c r="C11" s="6" t="s">
        <v>188</v>
      </c>
      <c r="D11" s="6" t="s">
        <v>108</v>
      </c>
      <c r="E11" s="6">
        <v>3</v>
      </c>
      <c r="F11" s="20">
        <f t="shared" ref="F11:F36" si="1">IF(E11=0,,($E$9-E11)*$E$7*100/$E$9)</f>
        <v>178.57142857142858</v>
      </c>
      <c r="G11" s="6">
        <v>1</v>
      </c>
      <c r="H11" s="20">
        <f t="shared" ref="H11:H36" si="2">IF(G11=0,,($G$9-G11)*$G$7*100/$G$9)</f>
        <v>192.30769230769232</v>
      </c>
      <c r="I11" s="6">
        <v>1</v>
      </c>
      <c r="J11" s="7">
        <f t="shared" ref="J11:J55" si="3">IF(I11=0,,($I$9-I11)*$I$7*100/$I$9)</f>
        <v>193.10344827586206</v>
      </c>
      <c r="K11" s="8">
        <f t="shared" ref="K11:K42" si="4">F11+H11+J11</f>
        <v>563.98256915498303</v>
      </c>
      <c r="L11" s="6">
        <f>COUNTA(#REF!,#REF!,#REF!,#REF!,E11,G11,I11)</f>
        <v>7</v>
      </c>
      <c r="M11" s="6">
        <f t="shared" ref="M11:M42" si="5">ROW(B11)-10</f>
        <v>1</v>
      </c>
      <c r="N11" s="17">
        <f t="shared" ref="N11:N42" si="6">L11/$G$3</f>
        <v>2.3333333333333335</v>
      </c>
    </row>
    <row r="12" spans="1:19" x14ac:dyDescent="0.3">
      <c r="A12" s="5">
        <f t="shared" si="0"/>
        <v>2</v>
      </c>
      <c r="B12" s="6" t="s">
        <v>183</v>
      </c>
      <c r="C12" s="6" t="s">
        <v>184</v>
      </c>
      <c r="D12" s="6" t="s">
        <v>117</v>
      </c>
      <c r="E12" s="6">
        <v>3</v>
      </c>
      <c r="F12" s="20">
        <f t="shared" si="1"/>
        <v>178.57142857142858</v>
      </c>
      <c r="G12" s="6">
        <v>3</v>
      </c>
      <c r="H12" s="20">
        <f t="shared" si="2"/>
        <v>176.92307692307693</v>
      </c>
      <c r="I12" s="6">
        <v>8</v>
      </c>
      <c r="J12" s="7">
        <f t="shared" si="3"/>
        <v>144.82758620689654</v>
      </c>
      <c r="K12" s="8">
        <f t="shared" si="4"/>
        <v>500.32209170140209</v>
      </c>
      <c r="L12" s="6">
        <f>COUNTA(#REF!,#REF!,#REF!,#REF!,E12,G12,I12)</f>
        <v>7</v>
      </c>
      <c r="M12" s="6">
        <f t="shared" si="5"/>
        <v>2</v>
      </c>
      <c r="N12" s="17">
        <f t="shared" si="6"/>
        <v>2.3333333333333335</v>
      </c>
    </row>
    <row r="13" spans="1:19" x14ac:dyDescent="0.3">
      <c r="A13" s="5">
        <f t="shared" si="0"/>
        <v>3</v>
      </c>
      <c r="B13" s="6" t="s">
        <v>358</v>
      </c>
      <c r="C13" s="6" t="s">
        <v>216</v>
      </c>
      <c r="D13" s="6" t="s">
        <v>359</v>
      </c>
      <c r="E13" s="6">
        <v>5</v>
      </c>
      <c r="F13" s="7">
        <f t="shared" si="1"/>
        <v>164.28571428571428</v>
      </c>
      <c r="G13" s="6">
        <v>8</v>
      </c>
      <c r="H13" s="7">
        <f t="shared" si="2"/>
        <v>138.46153846153845</v>
      </c>
      <c r="I13" s="6">
        <v>2</v>
      </c>
      <c r="J13" s="7">
        <f t="shared" si="3"/>
        <v>186.20689655172413</v>
      </c>
      <c r="K13" s="8">
        <f t="shared" si="4"/>
        <v>488.95414929897686</v>
      </c>
      <c r="L13" s="6">
        <f>COUNTA(#REF!,#REF!,#REF!,#REF!,E13,G13,I13)</f>
        <v>7</v>
      </c>
      <c r="M13" s="6">
        <f t="shared" si="5"/>
        <v>3</v>
      </c>
      <c r="N13" s="17">
        <f t="shared" si="6"/>
        <v>2.3333333333333335</v>
      </c>
    </row>
    <row r="14" spans="1:19" x14ac:dyDescent="0.3">
      <c r="A14" s="5">
        <f t="shared" si="0"/>
        <v>4</v>
      </c>
      <c r="B14" s="6" t="s">
        <v>191</v>
      </c>
      <c r="C14" s="6" t="s">
        <v>192</v>
      </c>
      <c r="D14" s="6" t="s">
        <v>91</v>
      </c>
      <c r="E14" s="6">
        <v>2</v>
      </c>
      <c r="F14" s="7">
        <f t="shared" si="1"/>
        <v>185.71428571428572</v>
      </c>
      <c r="G14" s="6">
        <v>9</v>
      </c>
      <c r="H14" s="7">
        <f t="shared" si="2"/>
        <v>130.76923076923077</v>
      </c>
      <c r="I14" s="6">
        <v>5</v>
      </c>
      <c r="J14" s="7">
        <f t="shared" si="3"/>
        <v>165.51724137931035</v>
      </c>
      <c r="K14" s="8">
        <f t="shared" si="4"/>
        <v>482.00075786282684</v>
      </c>
      <c r="L14" s="6">
        <f>COUNTA(#REF!,#REF!,#REF!,#REF!,E14,G14,I14)</f>
        <v>7</v>
      </c>
      <c r="M14" s="6">
        <f t="shared" si="5"/>
        <v>4</v>
      </c>
      <c r="N14" s="17">
        <f t="shared" si="6"/>
        <v>2.3333333333333335</v>
      </c>
    </row>
    <row r="15" spans="1:19" x14ac:dyDescent="0.3">
      <c r="A15" s="5">
        <f t="shared" si="0"/>
        <v>5</v>
      </c>
      <c r="B15" s="6" t="s">
        <v>195</v>
      </c>
      <c r="C15" s="6" t="s">
        <v>196</v>
      </c>
      <c r="D15" s="6" t="s">
        <v>117</v>
      </c>
      <c r="E15" s="6">
        <v>7</v>
      </c>
      <c r="F15" s="20">
        <f t="shared" si="1"/>
        <v>150</v>
      </c>
      <c r="G15" s="6">
        <v>6</v>
      </c>
      <c r="H15" s="20">
        <f t="shared" si="2"/>
        <v>153.84615384615384</v>
      </c>
      <c r="I15" s="6">
        <v>6</v>
      </c>
      <c r="J15" s="7">
        <f t="shared" si="3"/>
        <v>158.62068965517241</v>
      </c>
      <c r="K15" s="8">
        <f t="shared" si="4"/>
        <v>462.46684350132625</v>
      </c>
      <c r="L15" s="6">
        <f>COUNTA(#REF!,#REF!,#REF!,#REF!,E15,G15,I15)</f>
        <v>7</v>
      </c>
      <c r="M15" s="6">
        <f t="shared" si="5"/>
        <v>5</v>
      </c>
      <c r="N15" s="17">
        <f t="shared" si="6"/>
        <v>2.3333333333333335</v>
      </c>
    </row>
    <row r="16" spans="1:19" x14ac:dyDescent="0.3">
      <c r="A16" s="5">
        <f t="shared" si="0"/>
        <v>6</v>
      </c>
      <c r="B16" s="6" t="s">
        <v>185</v>
      </c>
      <c r="C16" s="6" t="s">
        <v>186</v>
      </c>
      <c r="D16" s="6" t="s">
        <v>108</v>
      </c>
      <c r="E16" s="6">
        <v>6</v>
      </c>
      <c r="F16" s="20">
        <f t="shared" si="1"/>
        <v>157.14285714285714</v>
      </c>
      <c r="G16" s="6">
        <v>5</v>
      </c>
      <c r="H16" s="20">
        <f t="shared" si="2"/>
        <v>161.53846153846155</v>
      </c>
      <c r="I16" s="6">
        <v>15</v>
      </c>
      <c r="J16" s="7">
        <f t="shared" si="3"/>
        <v>96.551724137931032</v>
      </c>
      <c r="K16" s="8">
        <f t="shared" si="4"/>
        <v>415.2330428192497</v>
      </c>
      <c r="L16" s="6">
        <f>COUNTA(#REF!,#REF!,#REF!,#REF!,E16,G16,I16)</f>
        <v>7</v>
      </c>
      <c r="M16" s="6">
        <f t="shared" si="5"/>
        <v>6</v>
      </c>
      <c r="N16" s="17">
        <f t="shared" si="6"/>
        <v>2.3333333333333335</v>
      </c>
    </row>
    <row r="17" spans="1:14" x14ac:dyDescent="0.3">
      <c r="A17" s="5">
        <f t="shared" si="0"/>
        <v>7</v>
      </c>
      <c r="B17" s="6" t="s">
        <v>246</v>
      </c>
      <c r="C17" s="6" t="s">
        <v>247</v>
      </c>
      <c r="D17" s="6" t="s">
        <v>90</v>
      </c>
      <c r="E17" s="6">
        <v>9</v>
      </c>
      <c r="F17" s="7">
        <f t="shared" si="1"/>
        <v>135.71428571428572</v>
      </c>
      <c r="G17" s="6">
        <v>10</v>
      </c>
      <c r="H17" s="7">
        <f t="shared" si="2"/>
        <v>123.07692307692308</v>
      </c>
      <c r="I17" s="6">
        <v>7</v>
      </c>
      <c r="J17" s="7">
        <f t="shared" si="3"/>
        <v>151.72413793103448</v>
      </c>
      <c r="K17" s="8">
        <f t="shared" si="4"/>
        <v>410.51534672224329</v>
      </c>
      <c r="L17" s="6">
        <f>COUNTA(#REF!,#REF!,#REF!,#REF!,E17,G17,I17)</f>
        <v>7</v>
      </c>
      <c r="M17" s="6">
        <f t="shared" si="5"/>
        <v>7</v>
      </c>
      <c r="N17" s="17">
        <f t="shared" si="6"/>
        <v>2.3333333333333335</v>
      </c>
    </row>
    <row r="18" spans="1:14" x14ac:dyDescent="0.3">
      <c r="A18" s="5">
        <f t="shared" si="0"/>
        <v>8</v>
      </c>
      <c r="B18" s="6" t="s">
        <v>180</v>
      </c>
      <c r="C18" s="6" t="s">
        <v>181</v>
      </c>
      <c r="D18" s="6" t="s">
        <v>90</v>
      </c>
      <c r="E18" s="6">
        <v>1</v>
      </c>
      <c r="F18" s="7">
        <f t="shared" si="1"/>
        <v>192.85714285714286</v>
      </c>
      <c r="G18" s="6"/>
      <c r="H18" s="7">
        <f t="shared" si="2"/>
        <v>0</v>
      </c>
      <c r="I18" s="6">
        <v>3</v>
      </c>
      <c r="J18" s="7">
        <f t="shared" si="3"/>
        <v>179.31034482758622</v>
      </c>
      <c r="K18" s="8">
        <f t="shared" si="4"/>
        <v>372.16748768472905</v>
      </c>
      <c r="L18" s="6">
        <f>COUNTA(#REF!,#REF!,#REF!,#REF!,E18,G18,I18)</f>
        <v>6</v>
      </c>
      <c r="M18" s="6">
        <f t="shared" si="5"/>
        <v>8</v>
      </c>
      <c r="N18" s="17">
        <f t="shared" si="6"/>
        <v>2</v>
      </c>
    </row>
    <row r="19" spans="1:14" x14ac:dyDescent="0.3">
      <c r="A19" s="5">
        <f t="shared" si="0"/>
        <v>9</v>
      </c>
      <c r="B19" s="6" t="s">
        <v>241</v>
      </c>
      <c r="C19" s="6" t="s">
        <v>243</v>
      </c>
      <c r="D19" s="6" t="s">
        <v>242</v>
      </c>
      <c r="E19" s="6">
        <v>14</v>
      </c>
      <c r="F19" s="7">
        <f t="shared" si="1"/>
        <v>100</v>
      </c>
      <c r="G19" s="6">
        <v>12</v>
      </c>
      <c r="H19" s="7">
        <f t="shared" si="2"/>
        <v>107.69230769230769</v>
      </c>
      <c r="I19" s="6">
        <v>9</v>
      </c>
      <c r="J19" s="7">
        <f t="shared" si="3"/>
        <v>137.93103448275863</v>
      </c>
      <c r="K19" s="8">
        <f t="shared" si="4"/>
        <v>345.62334217506634</v>
      </c>
      <c r="L19" s="6">
        <f>COUNTA(#REF!,#REF!,#REF!,#REF!,E19,G19,I19)</f>
        <v>7</v>
      </c>
      <c r="M19" s="6">
        <f t="shared" si="5"/>
        <v>9</v>
      </c>
      <c r="N19" s="17">
        <f t="shared" si="6"/>
        <v>2.3333333333333335</v>
      </c>
    </row>
    <row r="20" spans="1:14" x14ac:dyDescent="0.3">
      <c r="A20" s="5">
        <f t="shared" si="0"/>
        <v>10</v>
      </c>
      <c r="B20" s="6" t="s">
        <v>470</v>
      </c>
      <c r="C20" s="6" t="s">
        <v>469</v>
      </c>
      <c r="D20" s="6" t="s">
        <v>117</v>
      </c>
      <c r="E20" s="6"/>
      <c r="F20" s="7">
        <f t="shared" si="1"/>
        <v>0</v>
      </c>
      <c r="G20" s="6">
        <v>3</v>
      </c>
      <c r="H20" s="7">
        <f t="shared" si="2"/>
        <v>176.92307692307693</v>
      </c>
      <c r="I20" s="6">
        <v>10</v>
      </c>
      <c r="J20" s="7">
        <f t="shared" si="3"/>
        <v>131.0344827586207</v>
      </c>
      <c r="K20" s="8">
        <f t="shared" si="4"/>
        <v>307.9575596816976</v>
      </c>
      <c r="L20" s="6">
        <f>COUNTA(#REF!,#REF!,#REF!,#REF!,E20,G20,I20)</f>
        <v>6</v>
      </c>
      <c r="M20" s="6">
        <f t="shared" si="5"/>
        <v>10</v>
      </c>
      <c r="N20" s="17">
        <f t="shared" si="6"/>
        <v>2</v>
      </c>
    </row>
    <row r="21" spans="1:14" x14ac:dyDescent="0.3">
      <c r="A21" s="5">
        <f t="shared" si="0"/>
        <v>11</v>
      </c>
      <c r="B21" s="6" t="s">
        <v>252</v>
      </c>
      <c r="C21" s="6" t="s">
        <v>253</v>
      </c>
      <c r="D21" s="6" t="s">
        <v>117</v>
      </c>
      <c r="E21" s="6">
        <v>19</v>
      </c>
      <c r="F21" s="7">
        <f t="shared" si="1"/>
        <v>64.285714285714292</v>
      </c>
      <c r="G21" s="6">
        <v>19</v>
      </c>
      <c r="H21" s="7">
        <f t="shared" si="2"/>
        <v>53.846153846153847</v>
      </c>
      <c r="I21" s="6">
        <v>3</v>
      </c>
      <c r="J21" s="7">
        <f t="shared" si="3"/>
        <v>179.31034482758622</v>
      </c>
      <c r="K21" s="8">
        <f t="shared" si="4"/>
        <v>297.44221295945437</v>
      </c>
      <c r="L21" s="6">
        <f>COUNTA(#REF!,#REF!,#REF!,#REF!,E21,G21,I21)</f>
        <v>7</v>
      </c>
      <c r="M21" s="6">
        <f t="shared" si="5"/>
        <v>11</v>
      </c>
      <c r="N21" s="17">
        <f t="shared" si="6"/>
        <v>2.3333333333333335</v>
      </c>
    </row>
    <row r="22" spans="1:14" x14ac:dyDescent="0.3">
      <c r="A22" s="6">
        <f t="shared" si="0"/>
        <v>12</v>
      </c>
      <c r="B22" s="6" t="s">
        <v>198</v>
      </c>
      <c r="C22" s="6" t="s">
        <v>199</v>
      </c>
      <c r="D22" s="6" t="s">
        <v>90</v>
      </c>
      <c r="E22" s="6">
        <v>8</v>
      </c>
      <c r="F22" s="20">
        <f t="shared" si="1"/>
        <v>142.85714285714286</v>
      </c>
      <c r="G22" s="6">
        <v>7</v>
      </c>
      <c r="H22" s="20">
        <f t="shared" si="2"/>
        <v>146.15384615384616</v>
      </c>
      <c r="I22" s="6"/>
      <c r="J22" s="7">
        <f t="shared" si="3"/>
        <v>0</v>
      </c>
      <c r="K22" s="8">
        <f t="shared" si="4"/>
        <v>289.01098901098902</v>
      </c>
      <c r="L22" s="6">
        <f>COUNTA(#REF!,#REF!,#REF!,#REF!,E22,G22,I22)</f>
        <v>6</v>
      </c>
      <c r="M22" s="6">
        <f t="shared" si="5"/>
        <v>12</v>
      </c>
      <c r="N22" s="17">
        <f t="shared" si="6"/>
        <v>2</v>
      </c>
    </row>
    <row r="23" spans="1:14" x14ac:dyDescent="0.3">
      <c r="A23" s="5">
        <f t="shared" si="0"/>
        <v>13</v>
      </c>
      <c r="B23" s="6" t="s">
        <v>245</v>
      </c>
      <c r="C23" s="6" t="s">
        <v>133</v>
      </c>
      <c r="D23" s="6" t="s">
        <v>117</v>
      </c>
      <c r="E23" s="6">
        <v>13</v>
      </c>
      <c r="F23" s="7">
        <f t="shared" si="1"/>
        <v>107.14285714285714</v>
      </c>
      <c r="G23" s="6">
        <v>19</v>
      </c>
      <c r="H23" s="7">
        <f t="shared" si="2"/>
        <v>53.846153846153847</v>
      </c>
      <c r="I23" s="6">
        <v>11</v>
      </c>
      <c r="J23" s="7">
        <f t="shared" si="3"/>
        <v>124.13793103448276</v>
      </c>
      <c r="K23" s="8">
        <f t="shared" si="4"/>
        <v>285.12694202349371</v>
      </c>
      <c r="L23" s="6">
        <f>COUNTA(#REF!,#REF!,#REF!,#REF!,E23,G23,I23)</f>
        <v>7</v>
      </c>
      <c r="M23" s="6">
        <f t="shared" si="5"/>
        <v>13</v>
      </c>
      <c r="N23" s="17">
        <f t="shared" si="6"/>
        <v>2.3333333333333335</v>
      </c>
    </row>
    <row r="24" spans="1:14" x14ac:dyDescent="0.3">
      <c r="A24" s="5">
        <f t="shared" si="0"/>
        <v>14</v>
      </c>
      <c r="B24" s="6" t="s">
        <v>248</v>
      </c>
      <c r="C24" s="6" t="s">
        <v>249</v>
      </c>
      <c r="D24" s="6" t="s">
        <v>100</v>
      </c>
      <c r="E24" s="6">
        <v>16</v>
      </c>
      <c r="F24" s="7">
        <f t="shared" si="1"/>
        <v>85.714285714285708</v>
      </c>
      <c r="G24" s="6">
        <v>18</v>
      </c>
      <c r="H24" s="7">
        <f t="shared" si="2"/>
        <v>61.53846153846154</v>
      </c>
      <c r="I24" s="6">
        <v>20</v>
      </c>
      <c r="J24" s="7">
        <f t="shared" si="3"/>
        <v>62.068965517241381</v>
      </c>
      <c r="K24" s="8">
        <f t="shared" si="4"/>
        <v>209.32171276998861</v>
      </c>
      <c r="L24" s="6">
        <f>COUNTA(#REF!,#REF!,#REF!,#REF!,E24,G24,I24)</f>
        <v>7</v>
      </c>
      <c r="M24" s="6">
        <f t="shared" si="5"/>
        <v>14</v>
      </c>
      <c r="N24" s="17">
        <f t="shared" si="6"/>
        <v>2.3333333333333335</v>
      </c>
    </row>
    <row r="25" spans="1:14" x14ac:dyDescent="0.3">
      <c r="A25" s="5">
        <f t="shared" si="0"/>
        <v>15</v>
      </c>
      <c r="B25" s="6" t="s">
        <v>362</v>
      </c>
      <c r="C25" s="6" t="s">
        <v>363</v>
      </c>
      <c r="D25" s="6" t="s">
        <v>359</v>
      </c>
      <c r="E25" s="6">
        <v>12</v>
      </c>
      <c r="F25" s="7">
        <f t="shared" si="1"/>
        <v>114.28571428571429</v>
      </c>
      <c r="G25" s="6">
        <v>22</v>
      </c>
      <c r="H25" s="7">
        <f t="shared" si="2"/>
        <v>30.76923076923077</v>
      </c>
      <c r="I25" s="6">
        <v>21</v>
      </c>
      <c r="J25" s="7">
        <f t="shared" si="3"/>
        <v>55.172413793103445</v>
      </c>
      <c r="K25" s="8">
        <f t="shared" si="4"/>
        <v>200.22735884804848</v>
      </c>
      <c r="L25" s="6">
        <f>COUNTA(#REF!,#REF!,#REF!,#REF!,E25,G25,I25)</f>
        <v>7</v>
      </c>
      <c r="M25" s="6">
        <f t="shared" si="5"/>
        <v>15</v>
      </c>
      <c r="N25" s="17">
        <f t="shared" si="6"/>
        <v>2.3333333333333335</v>
      </c>
    </row>
    <row r="26" spans="1:14" x14ac:dyDescent="0.3">
      <c r="A26" s="5">
        <f t="shared" si="0"/>
        <v>16</v>
      </c>
      <c r="B26" s="6" t="s">
        <v>124</v>
      </c>
      <c r="C26" s="14" t="s">
        <v>182</v>
      </c>
      <c r="D26" s="6" t="s">
        <v>100</v>
      </c>
      <c r="E26" s="6"/>
      <c r="F26" s="7">
        <f t="shared" si="1"/>
        <v>0</v>
      </c>
      <c r="G26" s="6">
        <v>11</v>
      </c>
      <c r="H26" s="7">
        <f t="shared" si="2"/>
        <v>115.38461538461539</v>
      </c>
      <c r="I26" s="6">
        <v>17</v>
      </c>
      <c r="J26" s="7">
        <f t="shared" si="3"/>
        <v>82.758620689655174</v>
      </c>
      <c r="K26" s="8">
        <f t="shared" si="4"/>
        <v>198.14323607427056</v>
      </c>
      <c r="L26" s="6">
        <f>COUNTA(#REF!,#REF!,#REF!,#REF!,E26,G26,I26)</f>
        <v>6</v>
      </c>
      <c r="M26" s="6">
        <f t="shared" si="5"/>
        <v>16</v>
      </c>
      <c r="N26" s="17">
        <f t="shared" si="6"/>
        <v>2</v>
      </c>
    </row>
    <row r="27" spans="1:14" x14ac:dyDescent="0.3">
      <c r="A27" s="5">
        <f t="shared" si="0"/>
        <v>17</v>
      </c>
      <c r="B27" s="6" t="s">
        <v>239</v>
      </c>
      <c r="C27" s="6" t="s">
        <v>240</v>
      </c>
      <c r="D27" s="6" t="s">
        <v>103</v>
      </c>
      <c r="E27" s="6"/>
      <c r="F27" s="7">
        <f t="shared" si="1"/>
        <v>0</v>
      </c>
      <c r="G27" s="6">
        <v>2</v>
      </c>
      <c r="H27" s="7">
        <f t="shared" si="2"/>
        <v>184.61538461538461</v>
      </c>
      <c r="I27" s="6"/>
      <c r="J27" s="7">
        <f t="shared" si="3"/>
        <v>0</v>
      </c>
      <c r="K27" s="8">
        <f t="shared" si="4"/>
        <v>184.61538461538461</v>
      </c>
      <c r="L27" s="6">
        <f>COUNTA(#REF!,#REF!,#REF!,#REF!,E27,G27,I27)</f>
        <v>5</v>
      </c>
      <c r="M27" s="6">
        <f t="shared" si="5"/>
        <v>17</v>
      </c>
      <c r="N27" s="17">
        <f t="shared" si="6"/>
        <v>1.6666666666666667</v>
      </c>
    </row>
    <row r="28" spans="1:14" x14ac:dyDescent="0.3">
      <c r="A28" s="5">
        <f t="shared" si="0"/>
        <v>18</v>
      </c>
      <c r="B28" s="6" t="s">
        <v>244</v>
      </c>
      <c r="C28" s="6" t="s">
        <v>182</v>
      </c>
      <c r="D28" s="6" t="s">
        <v>103</v>
      </c>
      <c r="E28" s="6"/>
      <c r="F28" s="7">
        <f t="shared" si="1"/>
        <v>0</v>
      </c>
      <c r="G28" s="6">
        <v>17</v>
      </c>
      <c r="H28" s="7">
        <f t="shared" si="2"/>
        <v>69.230769230769226</v>
      </c>
      <c r="I28" s="6">
        <v>13</v>
      </c>
      <c r="J28" s="7">
        <f t="shared" si="3"/>
        <v>110.34482758620689</v>
      </c>
      <c r="K28" s="8">
        <f t="shared" si="4"/>
        <v>179.57559681697612</v>
      </c>
      <c r="L28" s="6">
        <f>COUNTA(#REF!,#REF!,#REF!,#REF!,E28,G28,I28)</f>
        <v>6</v>
      </c>
      <c r="M28" s="6">
        <f t="shared" si="5"/>
        <v>18</v>
      </c>
      <c r="N28" s="17">
        <f t="shared" si="6"/>
        <v>2</v>
      </c>
    </row>
    <row r="29" spans="1:14" x14ac:dyDescent="0.3">
      <c r="A29" s="5">
        <f t="shared" si="0"/>
        <v>19</v>
      </c>
      <c r="B29" s="6" t="s">
        <v>426</v>
      </c>
      <c r="C29" s="6" t="s">
        <v>427</v>
      </c>
      <c r="D29" s="6" t="s">
        <v>91</v>
      </c>
      <c r="E29" s="6">
        <v>18</v>
      </c>
      <c r="F29" s="7">
        <f t="shared" si="1"/>
        <v>71.428571428571431</v>
      </c>
      <c r="G29" s="6">
        <v>14</v>
      </c>
      <c r="H29" s="7">
        <f t="shared" si="2"/>
        <v>92.307692307692307</v>
      </c>
      <c r="I29" s="6"/>
      <c r="J29" s="7">
        <f t="shared" si="3"/>
        <v>0</v>
      </c>
      <c r="K29" s="8">
        <f t="shared" si="4"/>
        <v>163.73626373626374</v>
      </c>
      <c r="L29" s="6">
        <f>COUNTA(#REF!,#REF!,#REF!,#REF!,E29,G29,I29)</f>
        <v>6</v>
      </c>
      <c r="M29" s="6">
        <f t="shared" si="5"/>
        <v>19</v>
      </c>
      <c r="N29" s="17">
        <f t="shared" si="6"/>
        <v>2</v>
      </c>
    </row>
    <row r="30" spans="1:14" x14ac:dyDescent="0.3">
      <c r="A30" s="5">
        <f t="shared" si="0"/>
        <v>20</v>
      </c>
      <c r="B30" s="6" t="s">
        <v>471</v>
      </c>
      <c r="C30" s="6" t="s">
        <v>472</v>
      </c>
      <c r="D30" s="6" t="s">
        <v>117</v>
      </c>
      <c r="E30" s="6"/>
      <c r="F30" s="7">
        <f t="shared" si="1"/>
        <v>0</v>
      </c>
      <c r="G30" s="6">
        <v>16</v>
      </c>
      <c r="H30" s="7">
        <f t="shared" si="2"/>
        <v>76.92307692307692</v>
      </c>
      <c r="I30" s="6">
        <v>19</v>
      </c>
      <c r="J30" s="7">
        <f t="shared" si="3"/>
        <v>68.965517241379317</v>
      </c>
      <c r="K30" s="8">
        <f t="shared" si="4"/>
        <v>145.88859416445624</v>
      </c>
      <c r="L30" s="6">
        <f>COUNTA(#REF!,#REF!,#REF!,#REF!,E30,G30,I30)</f>
        <v>6</v>
      </c>
      <c r="M30" s="6">
        <f t="shared" si="5"/>
        <v>20</v>
      </c>
      <c r="N30" s="17">
        <f t="shared" si="6"/>
        <v>2</v>
      </c>
    </row>
    <row r="31" spans="1:14" x14ac:dyDescent="0.3">
      <c r="A31" s="5">
        <f t="shared" si="0"/>
        <v>21</v>
      </c>
      <c r="B31" s="6" t="s">
        <v>437</v>
      </c>
      <c r="C31" s="6" t="s">
        <v>438</v>
      </c>
      <c r="D31" s="6" t="s">
        <v>91</v>
      </c>
      <c r="E31" s="6">
        <v>10</v>
      </c>
      <c r="F31" s="7">
        <f t="shared" si="1"/>
        <v>128.57142857142858</v>
      </c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128.57142857142858</v>
      </c>
      <c r="L31" s="6">
        <f>COUNTA(#REF!,#REF!,#REF!,#REF!,E31,G31,I31)</f>
        <v>5</v>
      </c>
      <c r="M31" s="6">
        <f t="shared" si="5"/>
        <v>21</v>
      </c>
      <c r="N31" s="17">
        <f t="shared" si="6"/>
        <v>1.6666666666666667</v>
      </c>
    </row>
    <row r="32" spans="1:14" x14ac:dyDescent="0.3">
      <c r="A32" s="5">
        <f t="shared" si="0"/>
        <v>22</v>
      </c>
      <c r="B32" s="6" t="s">
        <v>432</v>
      </c>
      <c r="C32" s="6" t="s">
        <v>433</v>
      </c>
      <c r="D32" s="6" t="s">
        <v>91</v>
      </c>
      <c r="E32" s="6">
        <v>23</v>
      </c>
      <c r="F32" s="7">
        <f t="shared" si="1"/>
        <v>35.714285714285715</v>
      </c>
      <c r="G32" s="6">
        <v>14</v>
      </c>
      <c r="H32" s="7">
        <f t="shared" si="2"/>
        <v>92.307692307692307</v>
      </c>
      <c r="I32" s="6"/>
      <c r="J32" s="7">
        <f t="shared" si="3"/>
        <v>0</v>
      </c>
      <c r="K32" s="8">
        <f t="shared" si="4"/>
        <v>128.02197802197801</v>
      </c>
      <c r="L32" s="6">
        <f>COUNTA(#REF!,#REF!,#REF!,#REF!,E32,G32,I32)</f>
        <v>6</v>
      </c>
      <c r="M32" s="6">
        <f t="shared" si="5"/>
        <v>22</v>
      </c>
      <c r="N32" s="17">
        <f t="shared" si="6"/>
        <v>2</v>
      </c>
    </row>
    <row r="33" spans="1:14" x14ac:dyDescent="0.3">
      <c r="A33" s="5">
        <f t="shared" si="0"/>
        <v>23</v>
      </c>
      <c r="B33" s="6" t="s">
        <v>439</v>
      </c>
      <c r="C33" s="6" t="s">
        <v>440</v>
      </c>
      <c r="D33" s="6" t="s">
        <v>91</v>
      </c>
      <c r="E33" s="6">
        <v>11</v>
      </c>
      <c r="F33" s="7">
        <f t="shared" si="1"/>
        <v>121.42857142857143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121.42857142857143</v>
      </c>
      <c r="L33" s="6">
        <f>COUNTA(#REF!,#REF!,#REF!,#REF!,E33,G33,I33)</f>
        <v>5</v>
      </c>
      <c r="M33" s="6">
        <f t="shared" si="5"/>
        <v>23</v>
      </c>
      <c r="N33" s="17">
        <f t="shared" si="6"/>
        <v>1.6666666666666667</v>
      </c>
    </row>
    <row r="34" spans="1:14" x14ac:dyDescent="0.3">
      <c r="A34" s="5">
        <f t="shared" si="0"/>
        <v>24</v>
      </c>
      <c r="B34" s="6" t="s">
        <v>441</v>
      </c>
      <c r="C34" s="6" t="s">
        <v>442</v>
      </c>
      <c r="D34" s="6" t="s">
        <v>100</v>
      </c>
      <c r="E34" s="6">
        <v>15</v>
      </c>
      <c r="F34" s="7">
        <f t="shared" si="1"/>
        <v>92.857142857142861</v>
      </c>
      <c r="G34" s="6"/>
      <c r="H34" s="7">
        <f t="shared" si="2"/>
        <v>0</v>
      </c>
      <c r="I34" s="6">
        <v>25</v>
      </c>
      <c r="J34" s="7">
        <f t="shared" si="3"/>
        <v>27.586206896551722</v>
      </c>
      <c r="K34" s="8">
        <f t="shared" si="4"/>
        <v>120.44334975369458</v>
      </c>
      <c r="L34" s="6">
        <f>COUNTA(#REF!,#REF!,#REF!,#REF!,E34,G34,I34)</f>
        <v>6</v>
      </c>
      <c r="M34" s="6">
        <f t="shared" si="5"/>
        <v>24</v>
      </c>
      <c r="N34" s="17">
        <f t="shared" si="6"/>
        <v>2</v>
      </c>
    </row>
    <row r="35" spans="1:14" x14ac:dyDescent="0.3">
      <c r="A35" s="5">
        <f t="shared" si="0"/>
        <v>25</v>
      </c>
      <c r="B35" s="6" t="s">
        <v>189</v>
      </c>
      <c r="C35" s="6" t="s">
        <v>190</v>
      </c>
      <c r="D35" s="6" t="s">
        <v>108</v>
      </c>
      <c r="E35" s="6"/>
      <c r="F35" s="7">
        <f t="shared" si="1"/>
        <v>0</v>
      </c>
      <c r="G35" s="6"/>
      <c r="H35" s="7">
        <f t="shared" si="2"/>
        <v>0</v>
      </c>
      <c r="I35" s="6">
        <v>12</v>
      </c>
      <c r="J35" s="7">
        <f t="shared" si="3"/>
        <v>117.24137931034483</v>
      </c>
      <c r="K35" s="8">
        <f t="shared" si="4"/>
        <v>117.24137931034483</v>
      </c>
      <c r="L35" s="6">
        <f>COUNTA(#REF!,#REF!,#REF!,#REF!,E35,G35,I35)</f>
        <v>5</v>
      </c>
      <c r="M35" s="6">
        <f t="shared" si="5"/>
        <v>25</v>
      </c>
      <c r="N35" s="17">
        <f t="shared" si="6"/>
        <v>1.6666666666666667</v>
      </c>
    </row>
    <row r="36" spans="1:14" x14ac:dyDescent="0.3">
      <c r="A36" s="5">
        <f t="shared" si="0"/>
        <v>26</v>
      </c>
      <c r="B36" s="6" t="s">
        <v>364</v>
      </c>
      <c r="C36" s="6" t="s">
        <v>365</v>
      </c>
      <c r="D36" s="6" t="s">
        <v>366</v>
      </c>
      <c r="E36" s="6">
        <v>26</v>
      </c>
      <c r="F36" s="7">
        <f t="shared" si="1"/>
        <v>14.285714285714286</v>
      </c>
      <c r="G36" s="6"/>
      <c r="H36" s="7">
        <f t="shared" si="2"/>
        <v>0</v>
      </c>
      <c r="I36" s="6">
        <v>16</v>
      </c>
      <c r="J36" s="7">
        <f t="shared" si="3"/>
        <v>89.65517241379311</v>
      </c>
      <c r="K36" s="8">
        <f t="shared" si="4"/>
        <v>103.9408866995074</v>
      </c>
      <c r="L36" s="6">
        <f>COUNTA(#REF!,#REF!,#REF!,#REF!,E36,G36,I36)</f>
        <v>6</v>
      </c>
      <c r="M36" s="6">
        <f t="shared" si="5"/>
        <v>26</v>
      </c>
      <c r="N36" s="17">
        <f t="shared" si="6"/>
        <v>2</v>
      </c>
    </row>
    <row r="37" spans="1:14" x14ac:dyDescent="0.3">
      <c r="A37" s="5">
        <f t="shared" si="0"/>
        <v>27</v>
      </c>
      <c r="B37" s="6" t="s">
        <v>549</v>
      </c>
      <c r="C37" s="6" t="s">
        <v>99</v>
      </c>
      <c r="D37" s="6" t="s">
        <v>117</v>
      </c>
      <c r="E37" s="6"/>
      <c r="F37" s="7"/>
      <c r="G37" s="6"/>
      <c r="H37" s="7"/>
      <c r="I37" s="6">
        <v>14</v>
      </c>
      <c r="J37" s="7">
        <f t="shared" si="3"/>
        <v>103.44827586206897</v>
      </c>
      <c r="K37" s="8">
        <f t="shared" si="4"/>
        <v>103.44827586206897</v>
      </c>
      <c r="L37" s="6">
        <f>COUNTA(#REF!,#REF!,#REF!,#REF!,E37,G37,I37)</f>
        <v>5</v>
      </c>
      <c r="M37" s="6">
        <f t="shared" si="5"/>
        <v>27</v>
      </c>
      <c r="N37" s="17">
        <f t="shared" si="6"/>
        <v>1.6666666666666667</v>
      </c>
    </row>
    <row r="38" spans="1:14" x14ac:dyDescent="0.3">
      <c r="A38" s="5">
        <f t="shared" si="0"/>
        <v>28</v>
      </c>
      <c r="B38" s="6" t="s">
        <v>193</v>
      </c>
      <c r="C38" s="6" t="s">
        <v>194</v>
      </c>
      <c r="D38" s="6" t="s">
        <v>90</v>
      </c>
      <c r="E38" s="6"/>
      <c r="F38" s="7">
        <f t="shared" ref="F38:F44" si="7">IF(E38=0,,($E$9-E38)*$E$7*100/$E$9)</f>
        <v>0</v>
      </c>
      <c r="G38" s="6">
        <v>13</v>
      </c>
      <c r="H38" s="7">
        <f t="shared" ref="H38:H44" si="8">IF(G38=0,,($G$9-G38)*$G$7*100/$G$9)</f>
        <v>100</v>
      </c>
      <c r="I38" s="6"/>
      <c r="J38" s="7">
        <f t="shared" si="3"/>
        <v>0</v>
      </c>
      <c r="K38" s="8">
        <f t="shared" si="4"/>
        <v>100</v>
      </c>
      <c r="L38" s="6">
        <f>COUNTA(#REF!,#REF!,#REF!,#REF!,E38,G38,I38)</f>
        <v>5</v>
      </c>
      <c r="M38" s="6">
        <f t="shared" si="5"/>
        <v>28</v>
      </c>
      <c r="N38" s="17">
        <f t="shared" si="6"/>
        <v>1.6666666666666667</v>
      </c>
    </row>
    <row r="39" spans="1:14" x14ac:dyDescent="0.3">
      <c r="A39" s="5">
        <f t="shared" si="0"/>
        <v>29</v>
      </c>
      <c r="B39" s="6" t="s">
        <v>200</v>
      </c>
      <c r="C39" s="6" t="s">
        <v>201</v>
      </c>
      <c r="D39" s="6" t="s">
        <v>117</v>
      </c>
      <c r="E39" s="6"/>
      <c r="F39" s="7">
        <f t="shared" si="7"/>
        <v>0</v>
      </c>
      <c r="G39" s="6">
        <v>23</v>
      </c>
      <c r="H39" s="7">
        <f t="shared" si="8"/>
        <v>23.076923076923077</v>
      </c>
      <c r="I39" s="6">
        <v>18</v>
      </c>
      <c r="J39" s="7">
        <f t="shared" si="3"/>
        <v>75.862068965517238</v>
      </c>
      <c r="K39" s="8">
        <f t="shared" si="4"/>
        <v>98.938992042440319</v>
      </c>
      <c r="L39" s="6">
        <f>COUNTA(#REF!,#REF!,#REF!,#REF!,E39,G39,I39)</f>
        <v>6</v>
      </c>
      <c r="M39" s="6">
        <f t="shared" si="5"/>
        <v>29</v>
      </c>
      <c r="N39" s="17">
        <f t="shared" si="6"/>
        <v>2</v>
      </c>
    </row>
    <row r="40" spans="1:14" x14ac:dyDescent="0.3">
      <c r="A40" s="5">
        <f t="shared" si="0"/>
        <v>30</v>
      </c>
      <c r="B40" s="6" t="s">
        <v>250</v>
      </c>
      <c r="C40" s="6" t="s">
        <v>251</v>
      </c>
      <c r="D40" s="6" t="s">
        <v>100</v>
      </c>
      <c r="E40" s="6">
        <v>17</v>
      </c>
      <c r="F40" s="7">
        <f t="shared" si="7"/>
        <v>78.571428571428569</v>
      </c>
      <c r="G40" s="6"/>
      <c r="H40" s="7">
        <f t="shared" si="8"/>
        <v>0</v>
      </c>
      <c r="I40" s="6"/>
      <c r="J40" s="7">
        <f t="shared" si="3"/>
        <v>0</v>
      </c>
      <c r="K40" s="8">
        <f t="shared" si="4"/>
        <v>78.571428571428569</v>
      </c>
      <c r="L40" s="6">
        <f>COUNTA(#REF!,#REF!,#REF!,#REF!,E40,G40,I40)</f>
        <v>5</v>
      </c>
      <c r="M40" s="6">
        <f t="shared" si="5"/>
        <v>30</v>
      </c>
      <c r="N40" s="17">
        <f t="shared" si="6"/>
        <v>1.6666666666666667</v>
      </c>
    </row>
    <row r="41" spans="1:14" x14ac:dyDescent="0.3">
      <c r="A41" s="5">
        <f t="shared" si="0"/>
        <v>31</v>
      </c>
      <c r="B41" s="6" t="s">
        <v>428</v>
      </c>
      <c r="C41" s="6" t="s">
        <v>266</v>
      </c>
      <c r="D41" s="6" t="s">
        <v>91</v>
      </c>
      <c r="E41" s="6">
        <v>19</v>
      </c>
      <c r="F41" s="7">
        <f t="shared" si="7"/>
        <v>64.285714285714292</v>
      </c>
      <c r="G41" s="6"/>
      <c r="H41" s="7">
        <f t="shared" si="8"/>
        <v>0</v>
      </c>
      <c r="I41" s="6"/>
      <c r="J41" s="7">
        <f t="shared" si="3"/>
        <v>0</v>
      </c>
      <c r="K41" s="8">
        <f t="shared" si="4"/>
        <v>64.285714285714292</v>
      </c>
      <c r="L41" s="6">
        <f>COUNTA(#REF!,#REF!,#REF!,#REF!,E41,G41,I41)</f>
        <v>5</v>
      </c>
      <c r="M41" s="6">
        <f t="shared" si="5"/>
        <v>31</v>
      </c>
      <c r="N41" s="17">
        <f t="shared" si="6"/>
        <v>1.6666666666666667</v>
      </c>
    </row>
    <row r="42" spans="1:14" x14ac:dyDescent="0.3">
      <c r="A42" s="5">
        <f t="shared" si="0"/>
        <v>32</v>
      </c>
      <c r="B42" s="6" t="s">
        <v>197</v>
      </c>
      <c r="C42" s="6" t="s">
        <v>119</v>
      </c>
      <c r="D42" s="6" t="s">
        <v>90</v>
      </c>
      <c r="E42" s="6">
        <v>25</v>
      </c>
      <c r="F42" s="20">
        <f t="shared" si="7"/>
        <v>21.428571428571427</v>
      </c>
      <c r="G42" s="6">
        <v>21</v>
      </c>
      <c r="H42" s="20">
        <f t="shared" si="8"/>
        <v>38.46153846153846</v>
      </c>
      <c r="I42" s="6"/>
      <c r="J42" s="7">
        <f t="shared" si="3"/>
        <v>0</v>
      </c>
      <c r="K42" s="8">
        <f t="shared" si="4"/>
        <v>59.890109890109883</v>
      </c>
      <c r="L42" s="6">
        <f>COUNTA(#REF!,#REF!,#REF!,#REF!,E42,G42,I42)</f>
        <v>6</v>
      </c>
      <c r="M42" s="6">
        <f t="shared" si="5"/>
        <v>32</v>
      </c>
      <c r="N42" s="17">
        <f t="shared" si="6"/>
        <v>2</v>
      </c>
    </row>
    <row r="43" spans="1:14" x14ac:dyDescent="0.3">
      <c r="A43" s="5">
        <f t="shared" ref="A43:A67" si="9">M43</f>
        <v>33</v>
      </c>
      <c r="B43" s="6" t="s">
        <v>429</v>
      </c>
      <c r="C43" s="6" t="s">
        <v>430</v>
      </c>
      <c r="D43" s="6" t="s">
        <v>359</v>
      </c>
      <c r="E43" s="6">
        <v>20</v>
      </c>
      <c r="F43" s="7">
        <f t="shared" si="7"/>
        <v>57.142857142857146</v>
      </c>
      <c r="G43" s="6"/>
      <c r="H43" s="7">
        <f t="shared" si="8"/>
        <v>0</v>
      </c>
      <c r="I43" s="6"/>
      <c r="J43" s="7">
        <f t="shared" si="3"/>
        <v>0</v>
      </c>
      <c r="K43" s="8">
        <f t="shared" ref="K43:K67" si="10">F43+H43+J43</f>
        <v>57.142857142857146</v>
      </c>
      <c r="L43" s="6">
        <f>COUNTA(#REF!,#REF!,#REF!,#REF!,E43,G43,I43)</f>
        <v>5</v>
      </c>
      <c r="M43" s="6">
        <f t="shared" ref="M43:M67" si="11">ROW(B43)-10</f>
        <v>33</v>
      </c>
      <c r="N43" s="17">
        <f t="shared" ref="N43:N67" si="12">L43/$G$3</f>
        <v>1.6666666666666667</v>
      </c>
    </row>
    <row r="44" spans="1:14" x14ac:dyDescent="0.3">
      <c r="A44" s="5">
        <f t="shared" si="9"/>
        <v>34</v>
      </c>
      <c r="B44" s="6" t="s">
        <v>202</v>
      </c>
      <c r="C44" s="6" t="s">
        <v>203</v>
      </c>
      <c r="D44" s="6" t="s">
        <v>108</v>
      </c>
      <c r="E44" s="6">
        <v>21</v>
      </c>
      <c r="F44" s="7">
        <f t="shared" si="7"/>
        <v>50</v>
      </c>
      <c r="G44" s="6"/>
      <c r="H44" s="7">
        <f t="shared" si="8"/>
        <v>0</v>
      </c>
      <c r="I44" s="6"/>
      <c r="J44" s="7">
        <f t="shared" si="3"/>
        <v>0</v>
      </c>
      <c r="K44" s="8">
        <f t="shared" si="10"/>
        <v>50</v>
      </c>
      <c r="L44" s="6">
        <f>COUNTA(#REF!,#REF!,#REF!,#REF!,E44,G44,I44)</f>
        <v>5</v>
      </c>
      <c r="M44" s="6">
        <f t="shared" si="11"/>
        <v>34</v>
      </c>
      <c r="N44" s="17">
        <f t="shared" si="12"/>
        <v>1.6666666666666667</v>
      </c>
    </row>
    <row r="45" spans="1:14" x14ac:dyDescent="0.3">
      <c r="A45" s="5">
        <f t="shared" si="9"/>
        <v>35</v>
      </c>
      <c r="B45" s="6" t="s">
        <v>551</v>
      </c>
      <c r="C45" s="6" t="s">
        <v>550</v>
      </c>
      <c r="D45" s="6" t="s">
        <v>117</v>
      </c>
      <c r="E45" s="6"/>
      <c r="F45" s="7"/>
      <c r="G45" s="6"/>
      <c r="H45" s="7"/>
      <c r="I45" s="6">
        <v>22</v>
      </c>
      <c r="J45" s="7">
        <f t="shared" si="3"/>
        <v>48.275862068965516</v>
      </c>
      <c r="K45" s="8">
        <f t="shared" si="10"/>
        <v>48.275862068965516</v>
      </c>
      <c r="L45" s="6">
        <f>COUNTA(#REF!,#REF!,#REF!,#REF!,E45,G45,I45)</f>
        <v>5</v>
      </c>
      <c r="M45" s="6">
        <f t="shared" si="11"/>
        <v>35</v>
      </c>
      <c r="N45" s="17">
        <f t="shared" si="12"/>
        <v>1.6666666666666667</v>
      </c>
    </row>
    <row r="46" spans="1:14" x14ac:dyDescent="0.3">
      <c r="A46" s="5">
        <f t="shared" si="9"/>
        <v>36</v>
      </c>
      <c r="B46" s="6" t="s">
        <v>431</v>
      </c>
      <c r="C46" s="6" t="s">
        <v>298</v>
      </c>
      <c r="D46" s="6" t="s">
        <v>366</v>
      </c>
      <c r="E46" s="6">
        <v>22</v>
      </c>
      <c r="F46" s="7">
        <f>IF(E46=0,,($E$9-E46)*$E$7*100/$E$9)</f>
        <v>42.857142857142854</v>
      </c>
      <c r="G46" s="6"/>
      <c r="H46" s="7">
        <f>IF(G46=0,,($G$9-G46)*$G$7*100/$G$9)</f>
        <v>0</v>
      </c>
      <c r="I46" s="6"/>
      <c r="J46" s="7">
        <f t="shared" si="3"/>
        <v>0</v>
      </c>
      <c r="K46" s="8">
        <f t="shared" si="10"/>
        <v>42.857142857142854</v>
      </c>
      <c r="L46" s="6">
        <f>COUNTA(#REF!,#REF!,#REF!,#REF!,E46,G46,I46)</f>
        <v>5</v>
      </c>
      <c r="M46" s="6">
        <f t="shared" si="11"/>
        <v>36</v>
      </c>
      <c r="N46" s="17">
        <f t="shared" si="12"/>
        <v>1.6666666666666667</v>
      </c>
    </row>
    <row r="47" spans="1:14" x14ac:dyDescent="0.3">
      <c r="A47" s="5">
        <f t="shared" si="9"/>
        <v>37</v>
      </c>
      <c r="B47" s="6" t="s">
        <v>556</v>
      </c>
      <c r="C47" s="6" t="s">
        <v>557</v>
      </c>
      <c r="D47" s="6" t="s">
        <v>91</v>
      </c>
      <c r="E47" s="6"/>
      <c r="F47" s="7"/>
      <c r="G47" s="6"/>
      <c r="H47" s="7"/>
      <c r="I47" s="6">
        <v>23</v>
      </c>
      <c r="J47" s="7">
        <f t="shared" si="3"/>
        <v>41.379310344827587</v>
      </c>
      <c r="K47" s="8">
        <f t="shared" si="10"/>
        <v>41.379310344827587</v>
      </c>
      <c r="L47" s="6">
        <f>COUNTA(#REF!,#REF!,#REF!,#REF!,E47,G47,I47)</f>
        <v>5</v>
      </c>
      <c r="M47" s="6">
        <f t="shared" si="11"/>
        <v>37</v>
      </c>
      <c r="N47" s="17">
        <f t="shared" si="12"/>
        <v>1.6666666666666667</v>
      </c>
    </row>
    <row r="48" spans="1:14" x14ac:dyDescent="0.3">
      <c r="A48" s="5">
        <f t="shared" si="9"/>
        <v>38</v>
      </c>
      <c r="B48" s="6" t="s">
        <v>476</v>
      </c>
      <c r="C48" s="6" t="s">
        <v>477</v>
      </c>
      <c r="D48" s="6" t="s">
        <v>100</v>
      </c>
      <c r="E48" s="6"/>
      <c r="F48" s="7">
        <f>IF(E48=0,,($E$9-E48)*$E$7*100/$E$9)</f>
        <v>0</v>
      </c>
      <c r="G48" s="6">
        <v>26</v>
      </c>
      <c r="H48" s="7">
        <f>8/2</f>
        <v>4</v>
      </c>
      <c r="I48" s="6">
        <v>24</v>
      </c>
      <c r="J48" s="7">
        <f t="shared" si="3"/>
        <v>34.482758620689658</v>
      </c>
      <c r="K48" s="8">
        <f t="shared" si="10"/>
        <v>38.482758620689658</v>
      </c>
      <c r="L48" s="6">
        <f>COUNTA(#REF!,#REF!,#REF!,#REF!,E48,G48,I48)</f>
        <v>6</v>
      </c>
      <c r="M48" s="6">
        <f t="shared" si="11"/>
        <v>38</v>
      </c>
      <c r="N48" s="17">
        <f t="shared" si="12"/>
        <v>2</v>
      </c>
    </row>
    <row r="49" spans="1:14" x14ac:dyDescent="0.3">
      <c r="A49" s="5">
        <f t="shared" si="9"/>
        <v>39</v>
      </c>
      <c r="B49" s="6" t="s">
        <v>434</v>
      </c>
      <c r="C49" s="6" t="s">
        <v>435</v>
      </c>
      <c r="D49" s="6" t="s">
        <v>91</v>
      </c>
      <c r="E49" s="6">
        <v>24</v>
      </c>
      <c r="F49" s="7">
        <f>IF(E49=0,,($E$9-E49)*$E$7*100/$E$9)</f>
        <v>28.571428571428573</v>
      </c>
      <c r="G49" s="6"/>
      <c r="H49" s="7">
        <f>IF(G49=0,,($G$9-G49)*$G$7*100/$G$9)</f>
        <v>0</v>
      </c>
      <c r="I49" s="6"/>
      <c r="J49" s="7">
        <f t="shared" si="3"/>
        <v>0</v>
      </c>
      <c r="K49" s="8">
        <f t="shared" si="10"/>
        <v>28.571428571428573</v>
      </c>
      <c r="L49" s="6">
        <f>COUNTA(#REF!,#REF!,#REF!,#REF!,E49,G49,I49)</f>
        <v>5</v>
      </c>
      <c r="M49" s="6">
        <f t="shared" si="11"/>
        <v>39</v>
      </c>
      <c r="N49" s="17">
        <f t="shared" si="12"/>
        <v>1.6666666666666667</v>
      </c>
    </row>
    <row r="50" spans="1:14" x14ac:dyDescent="0.3">
      <c r="A50" s="5">
        <f t="shared" si="9"/>
        <v>40</v>
      </c>
      <c r="B50" s="6" t="s">
        <v>262</v>
      </c>
      <c r="C50" s="6" t="s">
        <v>243</v>
      </c>
      <c r="D50" s="6" t="s">
        <v>117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>
        <v>26</v>
      </c>
      <c r="J50" s="7">
        <f t="shared" si="3"/>
        <v>20.689655172413794</v>
      </c>
      <c r="K50" s="8">
        <f t="shared" si="10"/>
        <v>20.689655172413794</v>
      </c>
      <c r="L50" s="6">
        <f>COUNTA(#REF!,#REF!,#REF!,#REF!,E50,G50,I50)</f>
        <v>5</v>
      </c>
      <c r="M50" s="6">
        <f t="shared" si="11"/>
        <v>40</v>
      </c>
      <c r="N50" s="17">
        <f t="shared" si="12"/>
        <v>1.6666666666666667</v>
      </c>
    </row>
    <row r="51" spans="1:14" x14ac:dyDescent="0.3">
      <c r="A51" s="5">
        <f t="shared" si="9"/>
        <v>41</v>
      </c>
      <c r="B51" s="6" t="s">
        <v>263</v>
      </c>
      <c r="C51" s="6" t="s">
        <v>127</v>
      </c>
      <c r="D51" s="6" t="s">
        <v>100</v>
      </c>
      <c r="E51" s="6"/>
      <c r="F51" s="7">
        <f>IF(E51=0,,($E$9-E51)*$E$7*100/$E$9)</f>
        <v>0</v>
      </c>
      <c r="G51" s="6">
        <v>24</v>
      </c>
      <c r="H51" s="7">
        <f>IF(G51=0,,($G$9-G51)*$G$7*100/$G$9)</f>
        <v>15.384615384615385</v>
      </c>
      <c r="I51" s="6"/>
      <c r="J51" s="7">
        <f t="shared" si="3"/>
        <v>0</v>
      </c>
      <c r="K51" s="8">
        <f t="shared" si="10"/>
        <v>15.384615384615385</v>
      </c>
      <c r="L51" s="6">
        <f>COUNTA(#REF!,#REF!,#REF!,#REF!,E51,G51,I51)</f>
        <v>5</v>
      </c>
      <c r="M51" s="6">
        <f t="shared" si="11"/>
        <v>41</v>
      </c>
      <c r="N51" s="17">
        <f t="shared" si="12"/>
        <v>1.6666666666666667</v>
      </c>
    </row>
    <row r="52" spans="1:14" x14ac:dyDescent="0.3">
      <c r="A52" s="5">
        <f t="shared" si="9"/>
        <v>42</v>
      </c>
      <c r="B52" s="6" t="s">
        <v>552</v>
      </c>
      <c r="C52" s="6" t="s">
        <v>553</v>
      </c>
      <c r="D52" s="6" t="s">
        <v>117</v>
      </c>
      <c r="E52" s="6"/>
      <c r="F52" s="7"/>
      <c r="G52" s="6"/>
      <c r="H52" s="7"/>
      <c r="I52" s="6">
        <v>27</v>
      </c>
      <c r="J52" s="7">
        <f t="shared" si="3"/>
        <v>13.793103448275861</v>
      </c>
      <c r="K52" s="8">
        <f t="shared" si="10"/>
        <v>13.793103448275861</v>
      </c>
      <c r="L52" s="6">
        <f>COUNTA(#REF!,#REF!,#REF!,#REF!,E52,G52,I52)</f>
        <v>5</v>
      </c>
      <c r="M52" s="6">
        <f t="shared" si="11"/>
        <v>42</v>
      </c>
      <c r="N52" s="17">
        <f t="shared" si="12"/>
        <v>1.6666666666666667</v>
      </c>
    </row>
    <row r="53" spans="1:14" x14ac:dyDescent="0.3">
      <c r="A53" s="5">
        <f t="shared" si="9"/>
        <v>43</v>
      </c>
      <c r="B53" s="6" t="s">
        <v>473</v>
      </c>
      <c r="C53" s="6" t="s">
        <v>474</v>
      </c>
      <c r="D53" s="6" t="s">
        <v>475</v>
      </c>
      <c r="E53" s="6"/>
      <c r="F53" s="7">
        <f>IF(E53=0,,($E$9-E53)*$E$7*100/$E$9)</f>
        <v>0</v>
      </c>
      <c r="G53" s="6">
        <v>25</v>
      </c>
      <c r="H53" s="7">
        <f>IF(G53=0,,($G$9-G53)*$G$7*100/$G$9)</f>
        <v>7.6923076923076925</v>
      </c>
      <c r="I53" s="6"/>
      <c r="J53" s="7">
        <f t="shared" si="3"/>
        <v>0</v>
      </c>
      <c r="K53" s="8">
        <f t="shared" si="10"/>
        <v>7.6923076923076925</v>
      </c>
      <c r="L53" s="6">
        <f>COUNTA(#REF!,#REF!,#REF!,#REF!,E53,G53,I53)</f>
        <v>5</v>
      </c>
      <c r="M53" s="6">
        <f t="shared" si="11"/>
        <v>43</v>
      </c>
      <c r="N53" s="17">
        <f t="shared" si="12"/>
        <v>1.6666666666666667</v>
      </c>
    </row>
    <row r="54" spans="1:14" x14ac:dyDescent="0.3">
      <c r="A54" s="5">
        <f t="shared" si="9"/>
        <v>44</v>
      </c>
      <c r="B54" s="6" t="s">
        <v>420</v>
      </c>
      <c r="C54" s="6" t="s">
        <v>436</v>
      </c>
      <c r="D54" s="6" t="s">
        <v>366</v>
      </c>
      <c r="E54" s="6">
        <v>27</v>
      </c>
      <c r="F54" s="7">
        <f>IF(E54=0,,($E$9-E54)*$E$7*100/$E$9)</f>
        <v>7.1428571428571432</v>
      </c>
      <c r="G54" s="6"/>
      <c r="H54" s="7">
        <f>IF(G54=0,,($G$9-G54)*$G$7*100/$G$9)</f>
        <v>0</v>
      </c>
      <c r="I54" s="6"/>
      <c r="J54" s="7">
        <f t="shared" si="3"/>
        <v>0</v>
      </c>
      <c r="K54" s="8">
        <f t="shared" si="10"/>
        <v>7.1428571428571432</v>
      </c>
      <c r="L54" s="6">
        <f>COUNTA(#REF!,#REF!,#REF!,#REF!,E54,G54,I54)</f>
        <v>5</v>
      </c>
      <c r="M54" s="6">
        <f t="shared" si="11"/>
        <v>44</v>
      </c>
      <c r="N54" s="17">
        <f t="shared" si="12"/>
        <v>1.6666666666666667</v>
      </c>
    </row>
    <row r="55" spans="1:14" x14ac:dyDescent="0.3">
      <c r="A55" s="5">
        <f t="shared" si="9"/>
        <v>45</v>
      </c>
      <c r="B55" s="6" t="s">
        <v>554</v>
      </c>
      <c r="C55" s="6" t="s">
        <v>555</v>
      </c>
      <c r="D55" s="6" t="s">
        <v>117</v>
      </c>
      <c r="E55" s="6"/>
      <c r="F55" s="7"/>
      <c r="G55" s="6"/>
      <c r="H55" s="7"/>
      <c r="I55" s="6">
        <v>28</v>
      </c>
      <c r="J55" s="7">
        <f t="shared" si="3"/>
        <v>6.8965517241379306</v>
      </c>
      <c r="K55" s="8">
        <f t="shared" si="10"/>
        <v>6.8965517241379306</v>
      </c>
      <c r="L55" s="6">
        <f>COUNTA(#REF!,#REF!,#REF!,#REF!,E55,G55,I55)</f>
        <v>5</v>
      </c>
      <c r="M55" s="6">
        <f t="shared" si="11"/>
        <v>45</v>
      </c>
      <c r="N55" s="17">
        <f t="shared" si="12"/>
        <v>1.6666666666666667</v>
      </c>
    </row>
    <row r="56" spans="1:14" x14ac:dyDescent="0.3">
      <c r="A56" s="5">
        <f t="shared" si="9"/>
        <v>46</v>
      </c>
      <c r="B56" s="6" t="s">
        <v>558</v>
      </c>
      <c r="C56" s="6" t="s">
        <v>255</v>
      </c>
      <c r="D56" s="6" t="s">
        <v>205</v>
      </c>
      <c r="E56" s="6"/>
      <c r="F56" s="7"/>
      <c r="G56" s="6"/>
      <c r="H56" s="7"/>
      <c r="I56" s="6">
        <v>29</v>
      </c>
      <c r="J56" s="7">
        <f>7/2</f>
        <v>3.5</v>
      </c>
      <c r="K56" s="8">
        <f t="shared" si="10"/>
        <v>3.5</v>
      </c>
      <c r="L56" s="6">
        <f>COUNTA(#REF!,#REF!,#REF!,#REF!,E56,G56,I56)</f>
        <v>5</v>
      </c>
      <c r="M56" s="6">
        <f t="shared" si="11"/>
        <v>46</v>
      </c>
      <c r="N56" s="17">
        <f t="shared" si="12"/>
        <v>1.6666666666666667</v>
      </c>
    </row>
    <row r="57" spans="1:14" x14ac:dyDescent="0.3">
      <c r="A57" s="5">
        <f t="shared" si="9"/>
        <v>47</v>
      </c>
      <c r="B57" s="6" t="s">
        <v>254</v>
      </c>
      <c r="C57" s="6" t="s">
        <v>255</v>
      </c>
      <c r="D57" s="6" t="s">
        <v>117</v>
      </c>
      <c r="E57" s="6"/>
      <c r="F57" s="7">
        <f t="shared" ref="F57:F67" si="13">IF(E57=0,,($E$9-E57)*$E$7*100/$E$9)</f>
        <v>0</v>
      </c>
      <c r="G57" s="6"/>
      <c r="H57" s="7">
        <f t="shared" ref="H57:H67" si="14">IF(G57=0,,($G$9-G57)*$G$7*100/$G$9)</f>
        <v>0</v>
      </c>
      <c r="I57" s="6"/>
      <c r="J57" s="7">
        <f t="shared" ref="J57:J67" si="15">IF(I57=0,,($I$9-I57)*$I$7*100/$I$9)</f>
        <v>0</v>
      </c>
      <c r="K57" s="8">
        <f t="shared" si="10"/>
        <v>0</v>
      </c>
      <c r="L57" s="6">
        <f>COUNTA(#REF!,#REF!,#REF!,#REF!,E57,G57,I57)</f>
        <v>4</v>
      </c>
      <c r="M57" s="6">
        <f t="shared" si="11"/>
        <v>47</v>
      </c>
      <c r="N57" s="17">
        <f t="shared" si="12"/>
        <v>1.3333333333333333</v>
      </c>
    </row>
    <row r="58" spans="1:14" x14ac:dyDescent="0.3">
      <c r="A58" s="5">
        <f t="shared" si="9"/>
        <v>48</v>
      </c>
      <c r="B58" s="6" t="s">
        <v>256</v>
      </c>
      <c r="C58" s="6" t="s">
        <v>257</v>
      </c>
      <c r="D58" s="6" t="s">
        <v>103</v>
      </c>
      <c r="E58" s="6"/>
      <c r="F58" s="7">
        <f t="shared" si="13"/>
        <v>0</v>
      </c>
      <c r="G58" s="6"/>
      <c r="H58" s="7">
        <f t="shared" si="14"/>
        <v>0</v>
      </c>
      <c r="I58" s="6"/>
      <c r="J58" s="7">
        <f t="shared" si="15"/>
        <v>0</v>
      </c>
      <c r="K58" s="8">
        <f t="shared" si="10"/>
        <v>0</v>
      </c>
      <c r="L58" s="6">
        <f>COUNTA(#REF!,#REF!,#REF!,#REF!,E58,G58,I58)</f>
        <v>4</v>
      </c>
      <c r="M58" s="6">
        <f t="shared" si="11"/>
        <v>48</v>
      </c>
      <c r="N58" s="17">
        <f t="shared" si="12"/>
        <v>1.3333333333333333</v>
      </c>
    </row>
    <row r="59" spans="1:14" x14ac:dyDescent="0.3">
      <c r="A59" s="5">
        <f t="shared" si="9"/>
        <v>49</v>
      </c>
      <c r="B59" s="6" t="s">
        <v>258</v>
      </c>
      <c r="C59" s="6" t="s">
        <v>259</v>
      </c>
      <c r="D59" s="6" t="s">
        <v>142</v>
      </c>
      <c r="E59" s="6"/>
      <c r="F59" s="7">
        <f t="shared" si="13"/>
        <v>0</v>
      </c>
      <c r="G59" s="6"/>
      <c r="H59" s="7">
        <f t="shared" si="14"/>
        <v>0</v>
      </c>
      <c r="I59" s="6"/>
      <c r="J59" s="7">
        <f t="shared" si="15"/>
        <v>0</v>
      </c>
      <c r="K59" s="8">
        <f t="shared" si="10"/>
        <v>0</v>
      </c>
      <c r="L59" s="6">
        <f>COUNTA(#REF!,#REF!,#REF!,#REF!,E59,G59,I59)</f>
        <v>4</v>
      </c>
      <c r="M59" s="6">
        <f t="shared" si="11"/>
        <v>49</v>
      </c>
      <c r="N59" s="17">
        <f t="shared" si="12"/>
        <v>1.3333333333333333</v>
      </c>
    </row>
    <row r="60" spans="1:14" x14ac:dyDescent="0.3">
      <c r="A60" s="5">
        <f t="shared" si="9"/>
        <v>50</v>
      </c>
      <c r="B60" s="6" t="s">
        <v>405</v>
      </c>
      <c r="C60" s="6" t="s">
        <v>119</v>
      </c>
      <c r="D60" s="6" t="s">
        <v>103</v>
      </c>
      <c r="E60" s="6"/>
      <c r="F60" s="7">
        <f t="shared" si="13"/>
        <v>0</v>
      </c>
      <c r="G60" s="6"/>
      <c r="H60" s="7">
        <f t="shared" si="14"/>
        <v>0</v>
      </c>
      <c r="I60" s="6"/>
      <c r="J60" s="7">
        <f t="shared" si="15"/>
        <v>0</v>
      </c>
      <c r="K60" s="8">
        <f t="shared" si="10"/>
        <v>0</v>
      </c>
      <c r="L60" s="6">
        <f>COUNTA(#REF!,#REF!,#REF!,#REF!,E60,G60,I60)</f>
        <v>4</v>
      </c>
      <c r="M60" s="6">
        <f t="shared" si="11"/>
        <v>50</v>
      </c>
      <c r="N60" s="17">
        <f t="shared" si="12"/>
        <v>1.3333333333333333</v>
      </c>
    </row>
    <row r="61" spans="1:14" x14ac:dyDescent="0.3">
      <c r="A61" s="5">
        <f t="shared" si="9"/>
        <v>51</v>
      </c>
      <c r="B61" s="6" t="s">
        <v>258</v>
      </c>
      <c r="C61" s="6" t="s">
        <v>260</v>
      </c>
      <c r="D61" s="6" t="s">
        <v>142</v>
      </c>
      <c r="E61" s="6"/>
      <c r="F61" s="7">
        <f t="shared" si="13"/>
        <v>0</v>
      </c>
      <c r="G61" s="6"/>
      <c r="H61" s="7">
        <f t="shared" si="14"/>
        <v>0</v>
      </c>
      <c r="I61" s="6"/>
      <c r="J61" s="7">
        <f t="shared" si="15"/>
        <v>0</v>
      </c>
      <c r="K61" s="8">
        <f t="shared" si="10"/>
        <v>0</v>
      </c>
      <c r="L61" s="6">
        <f>COUNTA(#REF!,#REF!,#REF!,#REF!,E61,G61,I61)</f>
        <v>4</v>
      </c>
      <c r="M61" s="6">
        <f t="shared" si="11"/>
        <v>51</v>
      </c>
      <c r="N61" s="17">
        <f t="shared" si="12"/>
        <v>1.3333333333333333</v>
      </c>
    </row>
    <row r="62" spans="1:14" x14ac:dyDescent="0.3">
      <c r="A62" s="6">
        <f t="shared" si="9"/>
        <v>52</v>
      </c>
      <c r="B62" s="6" t="s">
        <v>360</v>
      </c>
      <c r="C62" s="6" t="s">
        <v>361</v>
      </c>
      <c r="D62" s="6" t="s">
        <v>205</v>
      </c>
      <c r="E62" s="6"/>
      <c r="F62" s="7">
        <f t="shared" si="13"/>
        <v>0</v>
      </c>
      <c r="G62" s="6"/>
      <c r="H62" s="7">
        <f t="shared" si="14"/>
        <v>0</v>
      </c>
      <c r="I62" s="6"/>
      <c r="J62" s="7">
        <f t="shared" si="15"/>
        <v>0</v>
      </c>
      <c r="K62" s="8">
        <f t="shared" si="10"/>
        <v>0</v>
      </c>
      <c r="L62" s="6">
        <f>COUNTA(#REF!,#REF!,#REF!,#REF!,E62,G62,I62)</f>
        <v>4</v>
      </c>
      <c r="M62" s="6">
        <f t="shared" si="11"/>
        <v>52</v>
      </c>
      <c r="N62" s="17">
        <f t="shared" si="12"/>
        <v>1.3333333333333333</v>
      </c>
    </row>
    <row r="63" spans="1:14" x14ac:dyDescent="0.3">
      <c r="A63" s="5">
        <f t="shared" si="9"/>
        <v>53</v>
      </c>
      <c r="B63" s="6" t="s">
        <v>261</v>
      </c>
      <c r="C63" s="6" t="s">
        <v>240</v>
      </c>
      <c r="D63" s="6" t="s">
        <v>142</v>
      </c>
      <c r="E63" s="6"/>
      <c r="F63" s="7">
        <f t="shared" si="13"/>
        <v>0</v>
      </c>
      <c r="G63" s="6"/>
      <c r="H63" s="7">
        <f t="shared" si="14"/>
        <v>0</v>
      </c>
      <c r="I63" s="6"/>
      <c r="J63" s="7">
        <f t="shared" si="15"/>
        <v>0</v>
      </c>
      <c r="K63" s="8">
        <f t="shared" si="10"/>
        <v>0</v>
      </c>
      <c r="L63" s="6">
        <f>COUNTA(#REF!,#REF!,#REF!,#REF!,E63,G63,I63)</f>
        <v>4</v>
      </c>
      <c r="M63" s="6">
        <f t="shared" si="11"/>
        <v>53</v>
      </c>
      <c r="N63" s="17">
        <f t="shared" si="12"/>
        <v>1.3333333333333333</v>
      </c>
    </row>
    <row r="64" spans="1:14" x14ac:dyDescent="0.3">
      <c r="A64" s="5">
        <f t="shared" si="9"/>
        <v>54</v>
      </c>
      <c r="B64" s="6" t="s">
        <v>264</v>
      </c>
      <c r="C64" s="6" t="s">
        <v>115</v>
      </c>
      <c r="D64" s="6" t="s">
        <v>242</v>
      </c>
      <c r="E64" s="6"/>
      <c r="F64" s="7">
        <f t="shared" si="13"/>
        <v>0</v>
      </c>
      <c r="G64" s="6"/>
      <c r="H64" s="7">
        <f t="shared" si="14"/>
        <v>0</v>
      </c>
      <c r="I64" s="6"/>
      <c r="J64" s="7">
        <f t="shared" si="15"/>
        <v>0</v>
      </c>
      <c r="K64" s="8">
        <f t="shared" si="10"/>
        <v>0</v>
      </c>
      <c r="L64" s="6">
        <f>COUNTA(#REF!,#REF!,#REF!,#REF!,E64,G64,I64)</f>
        <v>4</v>
      </c>
      <c r="M64" s="6">
        <f t="shared" si="11"/>
        <v>54</v>
      </c>
      <c r="N64" s="17">
        <f t="shared" si="12"/>
        <v>1.3333333333333333</v>
      </c>
    </row>
    <row r="65" spans="1:17" x14ac:dyDescent="0.3">
      <c r="A65" s="5">
        <f t="shared" si="9"/>
        <v>55</v>
      </c>
      <c r="B65" s="6" t="s">
        <v>265</v>
      </c>
      <c r="C65" s="6" t="s">
        <v>266</v>
      </c>
      <c r="D65" s="6" t="s">
        <v>242</v>
      </c>
      <c r="E65" s="6"/>
      <c r="F65" s="7">
        <f t="shared" si="13"/>
        <v>0</v>
      </c>
      <c r="G65" s="6"/>
      <c r="H65" s="7">
        <f t="shared" si="14"/>
        <v>0</v>
      </c>
      <c r="I65" s="6"/>
      <c r="J65" s="7">
        <f t="shared" si="15"/>
        <v>0</v>
      </c>
      <c r="K65" s="8">
        <f t="shared" si="10"/>
        <v>0</v>
      </c>
      <c r="L65" s="6">
        <f>COUNTA(#REF!,#REF!,#REF!,#REF!,E65,G65,I65)</f>
        <v>4</v>
      </c>
      <c r="M65" s="6">
        <f t="shared" si="11"/>
        <v>55</v>
      </c>
      <c r="N65" s="17">
        <f t="shared" si="12"/>
        <v>1.3333333333333333</v>
      </c>
    </row>
    <row r="66" spans="1:17" x14ac:dyDescent="0.3">
      <c r="A66" s="5">
        <f t="shared" si="9"/>
        <v>56</v>
      </c>
      <c r="B66" s="6" t="s">
        <v>406</v>
      </c>
      <c r="C66" s="6" t="s">
        <v>407</v>
      </c>
      <c r="D66" s="6" t="s">
        <v>103</v>
      </c>
      <c r="E66" s="6"/>
      <c r="F66" s="7">
        <f t="shared" si="13"/>
        <v>0</v>
      </c>
      <c r="G66" s="6"/>
      <c r="H66" s="7">
        <f t="shared" si="14"/>
        <v>0</v>
      </c>
      <c r="I66" s="6"/>
      <c r="J66" s="7">
        <f t="shared" si="15"/>
        <v>0</v>
      </c>
      <c r="K66" s="8">
        <f t="shared" si="10"/>
        <v>0</v>
      </c>
      <c r="L66" s="6">
        <f>COUNTA(#REF!,#REF!,#REF!,#REF!,E66,G66,I66)</f>
        <v>4</v>
      </c>
      <c r="M66" s="6">
        <f t="shared" si="11"/>
        <v>56</v>
      </c>
      <c r="N66" s="17">
        <f t="shared" si="12"/>
        <v>1.3333333333333333</v>
      </c>
    </row>
    <row r="67" spans="1:17" x14ac:dyDescent="0.3">
      <c r="A67" s="5">
        <f t="shared" si="9"/>
        <v>57</v>
      </c>
      <c r="B67" s="6" t="s">
        <v>267</v>
      </c>
      <c r="C67" s="6" t="s">
        <v>268</v>
      </c>
      <c r="D67" s="6" t="s">
        <v>142</v>
      </c>
      <c r="E67" s="6"/>
      <c r="F67" s="7">
        <f t="shared" si="13"/>
        <v>0</v>
      </c>
      <c r="G67" s="6"/>
      <c r="H67" s="7">
        <f t="shared" si="14"/>
        <v>0</v>
      </c>
      <c r="I67" s="6"/>
      <c r="J67" s="7">
        <f t="shared" si="15"/>
        <v>0</v>
      </c>
      <c r="K67" s="8">
        <f t="shared" si="10"/>
        <v>0</v>
      </c>
      <c r="L67" s="6">
        <f>COUNTA(#REF!,#REF!,#REF!,#REF!,E67,G67,I67)</f>
        <v>4</v>
      </c>
      <c r="M67" s="6">
        <f t="shared" si="11"/>
        <v>57</v>
      </c>
      <c r="N67" s="17">
        <f t="shared" si="12"/>
        <v>1.3333333333333333</v>
      </c>
    </row>
    <row r="68" spans="1:17" x14ac:dyDescent="0.3">
      <c r="A68" s="29" t="s">
        <v>18</v>
      </c>
      <c r="B68" s="29"/>
      <c r="C68" s="30"/>
      <c r="E68">
        <f>COUNTA(E11:E67)</f>
        <v>28</v>
      </c>
      <c r="G68">
        <f>COUNTA(G11:G67)</f>
        <v>26</v>
      </c>
      <c r="I68">
        <f>COUNTA(I11:I67)</f>
        <v>29</v>
      </c>
    </row>
    <row r="69" spans="1:17" x14ac:dyDescent="0.3">
      <c r="A69" s="32" t="s">
        <v>40</v>
      </c>
      <c r="B69" s="32"/>
      <c r="C69" s="32"/>
      <c r="E69" s="16">
        <f>E68/$G$2</f>
        <v>0.49122807017543857</v>
      </c>
      <c r="G69" s="16">
        <f>G68/$G$2</f>
        <v>0.45614035087719296</v>
      </c>
      <c r="I69" s="16">
        <f>I68/$G$2</f>
        <v>0.50877192982456143</v>
      </c>
      <c r="K69" s="16"/>
      <c r="M69" s="16"/>
      <c r="O69" s="16"/>
      <c r="Q69" s="16"/>
    </row>
  </sheetData>
  <sortState xmlns:xlrd2="http://schemas.microsoft.com/office/spreadsheetml/2017/richdata2" ref="A11:N67">
    <sortCondition descending="1" ref="K11:K67"/>
  </sortState>
  <mergeCells count="17">
    <mergeCell ref="A1:S1"/>
    <mergeCell ref="E2:F2"/>
    <mergeCell ref="E3:F3"/>
    <mergeCell ref="E6:F6"/>
    <mergeCell ref="G6:H6"/>
    <mergeCell ref="I6:J6"/>
    <mergeCell ref="I7:J7"/>
    <mergeCell ref="E8:F8"/>
    <mergeCell ref="G8:H8"/>
    <mergeCell ref="I8:J8"/>
    <mergeCell ref="E7:F7"/>
    <mergeCell ref="G7:H7"/>
    <mergeCell ref="I9:J9"/>
    <mergeCell ref="A68:C68"/>
    <mergeCell ref="A69:C69"/>
    <mergeCell ref="E9:F9"/>
    <mergeCell ref="G9:H9"/>
  </mergeCells>
  <pageMargins left="0.25" right="0.25" top="0.75" bottom="0.75" header="0.3" footer="0.3"/>
  <pageSetup paperSize="9" scale="47" fitToWidth="0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6"/>
  <sheetViews>
    <sheetView zoomScale="92" zoomScaleNormal="92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M28" sqref="M28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5.88671875" customWidth="1"/>
    <col min="12" max="12" width="17.44140625" customWidth="1"/>
    <col min="13" max="18" width="11.44140625" customWidth="1"/>
    <col min="20" max="20" width="12.33203125" bestFit="1" customWidth="1"/>
    <col min="21" max="21" width="18.33203125" bestFit="1" customWidth="1"/>
    <col min="22" max="22" width="19.6640625" bestFit="1" customWidth="1"/>
  </cols>
  <sheetData>
    <row r="1" spans="1:22" ht="31.2" x14ac:dyDescent="0.6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2" x14ac:dyDescent="0.3">
      <c r="E2" s="33" t="s">
        <v>36</v>
      </c>
      <c r="F2" s="33"/>
      <c r="G2" s="15">
        <f>COUNTA(B11:B24)</f>
        <v>11</v>
      </c>
    </row>
    <row r="3" spans="1:22" x14ac:dyDescent="0.3">
      <c r="B3" s="2"/>
      <c r="E3" s="33" t="s">
        <v>38</v>
      </c>
      <c r="F3" s="33"/>
      <c r="G3" s="15">
        <f>COUNTA(E8:R8)</f>
        <v>7</v>
      </c>
    </row>
    <row r="4" spans="1:22" x14ac:dyDescent="0.3">
      <c r="B4" s="2"/>
      <c r="C4" s="3"/>
    </row>
    <row r="6" spans="1:22" x14ac:dyDescent="0.3">
      <c r="D6" s="1" t="s">
        <v>0</v>
      </c>
      <c r="E6" s="28" t="s">
        <v>25</v>
      </c>
      <c r="F6" s="28"/>
      <c r="G6" s="28" t="s">
        <v>30</v>
      </c>
      <c r="H6" s="28"/>
      <c r="I6" s="28" t="s">
        <v>31</v>
      </c>
      <c r="J6" s="28"/>
      <c r="K6" s="28" t="s">
        <v>15</v>
      </c>
      <c r="L6" s="28"/>
      <c r="M6" s="25" t="s">
        <v>49</v>
      </c>
      <c r="N6" s="26"/>
      <c r="O6" s="28" t="s">
        <v>463</v>
      </c>
      <c r="P6" s="28"/>
      <c r="Q6" s="28" t="s">
        <v>26</v>
      </c>
      <c r="R6" s="28"/>
    </row>
    <row r="7" spans="1:22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  <c r="K7" s="25">
        <v>2</v>
      </c>
      <c r="L7" s="26"/>
      <c r="M7" s="25">
        <v>2</v>
      </c>
      <c r="N7" s="26"/>
      <c r="O7" s="25">
        <v>2</v>
      </c>
      <c r="P7" s="26"/>
      <c r="Q7" s="25">
        <v>2</v>
      </c>
      <c r="R7" s="26"/>
    </row>
    <row r="8" spans="1:22" x14ac:dyDescent="0.3">
      <c r="D8" s="1" t="s">
        <v>1</v>
      </c>
      <c r="E8" s="31">
        <v>45207</v>
      </c>
      <c r="F8" s="31"/>
      <c r="G8" s="34">
        <v>45214</v>
      </c>
      <c r="H8" s="35"/>
      <c r="I8" s="34">
        <v>45241</v>
      </c>
      <c r="J8" s="35"/>
      <c r="K8" s="34">
        <v>45248</v>
      </c>
      <c r="L8" s="35"/>
      <c r="M8" s="34">
        <v>45263</v>
      </c>
      <c r="N8" s="35"/>
      <c r="O8" s="31">
        <v>45333</v>
      </c>
      <c r="P8" s="31"/>
      <c r="Q8" s="31">
        <v>45389</v>
      </c>
      <c r="R8" s="31"/>
    </row>
    <row r="9" spans="1:22" x14ac:dyDescent="0.3">
      <c r="D9" s="1" t="s">
        <v>2</v>
      </c>
      <c r="E9" s="28">
        <v>0</v>
      </c>
      <c r="F9" s="28"/>
      <c r="G9" s="25">
        <v>6</v>
      </c>
      <c r="H9" s="26"/>
      <c r="I9" s="25">
        <v>5</v>
      </c>
      <c r="J9" s="26"/>
      <c r="K9" s="25">
        <v>9</v>
      </c>
      <c r="L9" s="26"/>
      <c r="M9" s="25">
        <v>6</v>
      </c>
      <c r="N9" s="26"/>
      <c r="O9" s="28">
        <v>5</v>
      </c>
      <c r="P9" s="28"/>
      <c r="Q9" s="28">
        <v>9</v>
      </c>
      <c r="R9" s="28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39</v>
      </c>
      <c r="U10" s="1" t="s">
        <v>9</v>
      </c>
      <c r="V10" s="1" t="s">
        <v>41</v>
      </c>
    </row>
    <row r="11" spans="1:22" x14ac:dyDescent="0.3">
      <c r="A11" s="5">
        <f t="shared" ref="A11:A21" si="0">U11</f>
        <v>1</v>
      </c>
      <c r="B11" s="6" t="s">
        <v>227</v>
      </c>
      <c r="C11" s="6" t="s">
        <v>228</v>
      </c>
      <c r="D11" s="6" t="s">
        <v>116</v>
      </c>
      <c r="E11" s="6"/>
      <c r="F11" s="6">
        <f t="shared" ref="F11:F21" si="1">IF(E11=0,,($E$9-E11)*$E$7*100/$E$9)</f>
        <v>0</v>
      </c>
      <c r="G11" s="6">
        <v>1</v>
      </c>
      <c r="H11" s="20">
        <f>IF(G11=0,,($G$9-G11)*$G$7*100/$G$9)</f>
        <v>166.66666666666666</v>
      </c>
      <c r="I11" s="6">
        <v>1</v>
      </c>
      <c r="J11" s="7">
        <f>IF(I11=0,,($I$9-I11)*$I$7*100/$I$9)</f>
        <v>160</v>
      </c>
      <c r="K11" s="6">
        <v>3</v>
      </c>
      <c r="L11" s="7">
        <f>IF(K11=0,,($K$9-K11)*$K$7*100/$K$9)</f>
        <v>133.33333333333334</v>
      </c>
      <c r="M11" s="6">
        <v>1</v>
      </c>
      <c r="N11" s="20">
        <f t="shared" ref="N11:N17" si="2">IF(M11=0,,($M$9-M11)*$M$7*100/$M$9)</f>
        <v>166.66666666666666</v>
      </c>
      <c r="O11" s="6">
        <v>1</v>
      </c>
      <c r="P11" s="20">
        <f t="shared" ref="P11:P17" si="3">IF(O11=0,,($O$9-O11)*$O$7*100/$O$9)</f>
        <v>160</v>
      </c>
      <c r="Q11" s="6">
        <v>1</v>
      </c>
      <c r="R11" s="20">
        <f t="shared" ref="R11:R20" si="4">IF(Q11=0,,($Q$9-Q11)*$Q$7*100/$Q$9)</f>
        <v>177.77777777777777</v>
      </c>
      <c r="S11" s="8">
        <f>H11+R11+N11+P11</f>
        <v>671.11111111111109</v>
      </c>
      <c r="T11" s="6">
        <f t="shared" ref="T11:T21" si="5">COUNTA(E11,G11,I11,K11,M11,O11,Q11)</f>
        <v>6</v>
      </c>
      <c r="U11" s="6">
        <f t="shared" ref="U11:U21" si="6">ROW(B11)-10</f>
        <v>1</v>
      </c>
      <c r="V11" s="17">
        <f t="shared" ref="V11:V21" si="7">T11/$G$3</f>
        <v>0.8571428571428571</v>
      </c>
    </row>
    <row r="12" spans="1:22" x14ac:dyDescent="0.3">
      <c r="A12" s="5">
        <f t="shared" si="0"/>
        <v>2</v>
      </c>
      <c r="B12" s="6" t="s">
        <v>237</v>
      </c>
      <c r="C12" s="6" t="s">
        <v>232</v>
      </c>
      <c r="D12" s="6" t="s">
        <v>117</v>
      </c>
      <c r="E12" s="6"/>
      <c r="F12" s="6">
        <f t="shared" si="1"/>
        <v>0</v>
      </c>
      <c r="G12" s="6">
        <v>5</v>
      </c>
      <c r="H12" s="7">
        <f>IF(G12=0,,($G$9-G12)*$G$7*100/$G$9)</f>
        <v>33.333333333333336</v>
      </c>
      <c r="I12" s="6">
        <v>2</v>
      </c>
      <c r="J12" s="20">
        <f>IF(I12=0,,($I$9-I12)*$I$7*100/$I$9)</f>
        <v>120</v>
      </c>
      <c r="K12" s="6"/>
      <c r="L12" s="7">
        <f>IF(K12=0,,($K$9-K12)*$K$7*100/$K$9)</f>
        <v>0</v>
      </c>
      <c r="M12" s="6">
        <v>3</v>
      </c>
      <c r="N12" s="20">
        <f t="shared" si="2"/>
        <v>100</v>
      </c>
      <c r="O12" s="6">
        <v>2</v>
      </c>
      <c r="P12" s="20">
        <f t="shared" si="3"/>
        <v>120</v>
      </c>
      <c r="Q12" s="6">
        <v>7</v>
      </c>
      <c r="R12" s="20">
        <f t="shared" si="4"/>
        <v>44.444444444444443</v>
      </c>
      <c r="S12" s="8">
        <f>J12+N12+P12+R12</f>
        <v>384.44444444444446</v>
      </c>
      <c r="T12" s="6">
        <f t="shared" si="5"/>
        <v>5</v>
      </c>
      <c r="U12" s="6">
        <f t="shared" si="6"/>
        <v>2</v>
      </c>
      <c r="V12" s="17">
        <f t="shared" si="7"/>
        <v>0.7142857142857143</v>
      </c>
    </row>
    <row r="13" spans="1:22" x14ac:dyDescent="0.3">
      <c r="A13" s="5">
        <f t="shared" si="0"/>
        <v>3</v>
      </c>
      <c r="B13" s="6" t="s">
        <v>235</v>
      </c>
      <c r="C13" s="6" t="s">
        <v>230</v>
      </c>
      <c r="D13" s="6" t="s">
        <v>90</v>
      </c>
      <c r="E13" s="6"/>
      <c r="F13" s="6">
        <f t="shared" si="1"/>
        <v>0</v>
      </c>
      <c r="G13" s="6">
        <v>3</v>
      </c>
      <c r="H13" s="20">
        <f>IF(G13=0,,($G$9-G13)*$G$7*100/$G$9)</f>
        <v>100</v>
      </c>
      <c r="I13" s="6">
        <v>3</v>
      </c>
      <c r="J13" s="20">
        <f>IF(I13=0,,($I$9-I13)*$I$7*100/$I$9)</f>
        <v>80</v>
      </c>
      <c r="K13" s="6">
        <v>7</v>
      </c>
      <c r="L13" s="7">
        <f>IF(K13=0,,($K$9-K13)*$K$7*100/$K$9)</f>
        <v>44.444444444444443</v>
      </c>
      <c r="M13" s="6">
        <v>2</v>
      </c>
      <c r="N13" s="20">
        <f t="shared" si="2"/>
        <v>133.33333333333334</v>
      </c>
      <c r="O13" s="6"/>
      <c r="P13" s="7">
        <f t="shared" si="3"/>
        <v>0</v>
      </c>
      <c r="Q13" s="6">
        <v>6</v>
      </c>
      <c r="R13" s="20">
        <f t="shared" si="4"/>
        <v>66.666666666666671</v>
      </c>
      <c r="S13" s="8">
        <f>H13+J13+N13+R13</f>
        <v>380.00000000000006</v>
      </c>
      <c r="T13" s="6">
        <f t="shared" si="5"/>
        <v>5</v>
      </c>
      <c r="U13" s="6">
        <f t="shared" si="6"/>
        <v>3</v>
      </c>
      <c r="V13" s="17">
        <f t="shared" si="7"/>
        <v>0.7142857142857143</v>
      </c>
    </row>
    <row r="14" spans="1:22" x14ac:dyDescent="0.3">
      <c r="A14" s="5">
        <f t="shared" si="0"/>
        <v>4</v>
      </c>
      <c r="B14" s="6" t="s">
        <v>238</v>
      </c>
      <c r="C14" s="6" t="s">
        <v>233</v>
      </c>
      <c r="D14" s="6" t="s">
        <v>117</v>
      </c>
      <c r="E14" s="6"/>
      <c r="F14" s="6">
        <f t="shared" si="1"/>
        <v>0</v>
      </c>
      <c r="G14" s="6">
        <v>6</v>
      </c>
      <c r="H14" s="20">
        <f>33/2</f>
        <v>16.5</v>
      </c>
      <c r="I14" s="6">
        <v>5</v>
      </c>
      <c r="J14" s="22">
        <v>40</v>
      </c>
      <c r="K14" s="6">
        <v>9</v>
      </c>
      <c r="L14" s="7">
        <f>22/2</f>
        <v>11</v>
      </c>
      <c r="M14" s="6"/>
      <c r="N14" s="7">
        <f t="shared" si="2"/>
        <v>0</v>
      </c>
      <c r="O14" s="6">
        <v>3</v>
      </c>
      <c r="P14" s="20">
        <f t="shared" si="3"/>
        <v>80</v>
      </c>
      <c r="Q14" s="6">
        <v>2</v>
      </c>
      <c r="R14" s="20">
        <f t="shared" si="4"/>
        <v>155.55555555555554</v>
      </c>
      <c r="S14" s="8">
        <f>R14+P14+J14+H14</f>
        <v>292.05555555555554</v>
      </c>
      <c r="T14" s="6">
        <f t="shared" si="5"/>
        <v>5</v>
      </c>
      <c r="U14" s="6">
        <f t="shared" si="6"/>
        <v>4</v>
      </c>
      <c r="V14" s="17">
        <f t="shared" si="7"/>
        <v>0.7142857142857143</v>
      </c>
    </row>
    <row r="15" spans="1:22" x14ac:dyDescent="0.3">
      <c r="A15" s="5">
        <f t="shared" si="0"/>
        <v>5</v>
      </c>
      <c r="B15" s="6" t="s">
        <v>234</v>
      </c>
      <c r="C15" s="6" t="s">
        <v>229</v>
      </c>
      <c r="D15" s="6" t="s">
        <v>117</v>
      </c>
      <c r="E15" s="6"/>
      <c r="F15" s="6">
        <f t="shared" si="1"/>
        <v>0</v>
      </c>
      <c r="G15" s="6">
        <v>2</v>
      </c>
      <c r="H15" s="7">
        <f t="shared" ref="H15:H21" si="8">IF(G15=0,,($G$9-G15)*$G$7*100/$G$9)</f>
        <v>133.33333333333334</v>
      </c>
      <c r="I15" s="6"/>
      <c r="J15" s="7">
        <f t="shared" ref="J15:J21" si="9">IF(I15=0,,($I$9-I15)*$I$7*100/$I$9)</f>
        <v>0</v>
      </c>
      <c r="K15" s="6"/>
      <c r="L15" s="7">
        <f t="shared" ref="L15:L21" si="10">IF(K15=0,,($K$9-K15)*$K$7*100/$K$9)</f>
        <v>0</v>
      </c>
      <c r="M15" s="6"/>
      <c r="N15" s="7">
        <f t="shared" si="2"/>
        <v>0</v>
      </c>
      <c r="O15" s="6">
        <v>3</v>
      </c>
      <c r="P15" s="7">
        <f t="shared" si="3"/>
        <v>80</v>
      </c>
      <c r="Q15" s="6">
        <v>3</v>
      </c>
      <c r="R15" s="7">
        <f t="shared" si="4"/>
        <v>133.33333333333334</v>
      </c>
      <c r="S15" s="8">
        <f t="shared" ref="S15:S21" si="11">P15+N15+J15+H15+F15+L15</f>
        <v>213.33333333333334</v>
      </c>
      <c r="T15" s="6">
        <f t="shared" si="5"/>
        <v>3</v>
      </c>
      <c r="U15" s="6">
        <f t="shared" si="6"/>
        <v>5</v>
      </c>
      <c r="V15" s="17">
        <f t="shared" si="7"/>
        <v>0.42857142857142855</v>
      </c>
    </row>
    <row r="16" spans="1:22" x14ac:dyDescent="0.3">
      <c r="A16" s="5">
        <f t="shared" si="0"/>
        <v>6</v>
      </c>
      <c r="B16" s="6" t="s">
        <v>236</v>
      </c>
      <c r="C16" s="6" t="s">
        <v>231</v>
      </c>
      <c r="D16" s="6" t="s">
        <v>100</v>
      </c>
      <c r="E16" s="6"/>
      <c r="F16" s="6">
        <f t="shared" si="1"/>
        <v>0</v>
      </c>
      <c r="G16" s="6">
        <v>4</v>
      </c>
      <c r="H16" s="7">
        <f t="shared" si="8"/>
        <v>66.666666666666671</v>
      </c>
      <c r="I16" s="6"/>
      <c r="J16" s="7">
        <f t="shared" si="9"/>
        <v>0</v>
      </c>
      <c r="K16" s="6"/>
      <c r="L16" s="7">
        <f t="shared" si="10"/>
        <v>0</v>
      </c>
      <c r="M16" s="6">
        <v>3</v>
      </c>
      <c r="N16" s="7">
        <f t="shared" si="2"/>
        <v>100</v>
      </c>
      <c r="O16" s="6"/>
      <c r="P16" s="7">
        <f t="shared" si="3"/>
        <v>0</v>
      </c>
      <c r="Q16" s="6">
        <v>8</v>
      </c>
      <c r="R16" s="7">
        <f t="shared" si="4"/>
        <v>22.222222222222221</v>
      </c>
      <c r="S16" s="8">
        <f t="shared" si="11"/>
        <v>166.66666666666669</v>
      </c>
      <c r="T16" s="6">
        <f t="shared" si="5"/>
        <v>3</v>
      </c>
      <c r="U16" s="6">
        <f t="shared" si="6"/>
        <v>6</v>
      </c>
      <c r="V16" s="17">
        <f t="shared" si="7"/>
        <v>0.42857142857142855</v>
      </c>
    </row>
    <row r="17" spans="1:22" x14ac:dyDescent="0.3">
      <c r="A17" s="5">
        <f t="shared" si="0"/>
        <v>7</v>
      </c>
      <c r="B17" s="6" t="s">
        <v>367</v>
      </c>
      <c r="C17" s="6" t="s">
        <v>229</v>
      </c>
      <c r="D17" s="6" t="s">
        <v>205</v>
      </c>
      <c r="E17" s="6"/>
      <c r="F17" s="6">
        <f t="shared" si="1"/>
        <v>0</v>
      </c>
      <c r="G17" s="6"/>
      <c r="H17" s="7">
        <f t="shared" si="8"/>
        <v>0</v>
      </c>
      <c r="I17" s="6">
        <v>3</v>
      </c>
      <c r="J17" s="7">
        <f t="shared" si="9"/>
        <v>80</v>
      </c>
      <c r="K17" s="6"/>
      <c r="L17" s="7">
        <f t="shared" si="10"/>
        <v>0</v>
      </c>
      <c r="M17" s="6"/>
      <c r="N17" s="7">
        <f t="shared" si="2"/>
        <v>0</v>
      </c>
      <c r="O17" s="6"/>
      <c r="P17" s="7">
        <f t="shared" si="3"/>
        <v>0</v>
      </c>
      <c r="Q17" s="6"/>
      <c r="R17" s="7">
        <f t="shared" si="4"/>
        <v>0</v>
      </c>
      <c r="S17" s="8">
        <f t="shared" si="11"/>
        <v>80</v>
      </c>
      <c r="T17" s="6">
        <f t="shared" si="5"/>
        <v>1</v>
      </c>
      <c r="U17" s="6">
        <f t="shared" si="6"/>
        <v>7</v>
      </c>
      <c r="V17" s="17">
        <f t="shared" si="7"/>
        <v>0.14285714285714285</v>
      </c>
    </row>
    <row r="18" spans="1:22" x14ac:dyDescent="0.3">
      <c r="A18" s="6">
        <f t="shared" si="0"/>
        <v>8</v>
      </c>
      <c r="B18" s="6" t="s">
        <v>424</v>
      </c>
      <c r="C18" s="6" t="s">
        <v>425</v>
      </c>
      <c r="D18" s="6" t="s">
        <v>117</v>
      </c>
      <c r="E18" s="6"/>
      <c r="F18" s="6">
        <f t="shared" si="1"/>
        <v>0</v>
      </c>
      <c r="G18" s="6"/>
      <c r="H18" s="7">
        <f t="shared" si="8"/>
        <v>0</v>
      </c>
      <c r="I18" s="6"/>
      <c r="J18" s="7">
        <f t="shared" si="9"/>
        <v>0</v>
      </c>
      <c r="K18" s="6"/>
      <c r="L18" s="7">
        <f t="shared" si="10"/>
        <v>0</v>
      </c>
      <c r="M18" s="6">
        <v>6</v>
      </c>
      <c r="N18" s="7">
        <f>33/2</f>
        <v>16.5</v>
      </c>
      <c r="O18" s="6">
        <v>5</v>
      </c>
      <c r="P18" s="7">
        <f>40/2</f>
        <v>20</v>
      </c>
      <c r="Q18" s="6">
        <v>3</v>
      </c>
      <c r="R18" s="7">
        <f t="shared" si="4"/>
        <v>133.33333333333334</v>
      </c>
      <c r="S18" s="8">
        <f t="shared" si="11"/>
        <v>36.5</v>
      </c>
      <c r="T18" s="6">
        <f t="shared" si="5"/>
        <v>3</v>
      </c>
      <c r="U18" s="6">
        <f t="shared" si="6"/>
        <v>8</v>
      </c>
      <c r="V18" s="17">
        <f t="shared" si="7"/>
        <v>0.42857142857142855</v>
      </c>
    </row>
    <row r="19" spans="1:22" x14ac:dyDescent="0.3">
      <c r="A19" s="5">
        <f t="shared" si="0"/>
        <v>9</v>
      </c>
      <c r="B19" s="6" t="s">
        <v>422</v>
      </c>
      <c r="C19" s="6" t="s">
        <v>423</v>
      </c>
      <c r="D19" s="6"/>
      <c r="E19" s="6"/>
      <c r="F19" s="6">
        <f t="shared" si="1"/>
        <v>0</v>
      </c>
      <c r="G19" s="6"/>
      <c r="H19" s="7">
        <f t="shared" si="8"/>
        <v>0</v>
      </c>
      <c r="I19" s="6"/>
      <c r="J19" s="7">
        <f t="shared" si="9"/>
        <v>0</v>
      </c>
      <c r="K19" s="6"/>
      <c r="L19" s="7">
        <f t="shared" si="10"/>
        <v>0</v>
      </c>
      <c r="M19" s="6">
        <v>5</v>
      </c>
      <c r="N19" s="7">
        <f>IF(M19=0,,($M$9-M19)*$M$7*100/$M$9)</f>
        <v>33.333333333333336</v>
      </c>
      <c r="O19" s="6"/>
      <c r="P19" s="7">
        <f>IF(O19=0,,($O$9-O19)*$O$7*100/$O$9)</f>
        <v>0</v>
      </c>
      <c r="Q19" s="6"/>
      <c r="R19" s="7">
        <f t="shared" si="4"/>
        <v>0</v>
      </c>
      <c r="S19" s="8">
        <f t="shared" si="11"/>
        <v>33.333333333333336</v>
      </c>
      <c r="T19" s="6">
        <f t="shared" si="5"/>
        <v>1</v>
      </c>
      <c r="U19" s="6">
        <f t="shared" si="6"/>
        <v>9</v>
      </c>
      <c r="V19" s="17">
        <f t="shared" si="7"/>
        <v>0.14285714285714285</v>
      </c>
    </row>
    <row r="20" spans="1:22" x14ac:dyDescent="0.3">
      <c r="A20" s="5">
        <f t="shared" si="0"/>
        <v>10</v>
      </c>
      <c r="B20" s="6" t="s">
        <v>545</v>
      </c>
      <c r="C20" s="6" t="s">
        <v>546</v>
      </c>
      <c r="D20" s="6" t="s">
        <v>205</v>
      </c>
      <c r="E20" s="6"/>
      <c r="F20" s="6">
        <f t="shared" si="1"/>
        <v>0</v>
      </c>
      <c r="G20" s="6"/>
      <c r="H20" s="7">
        <f t="shared" si="8"/>
        <v>0</v>
      </c>
      <c r="I20" s="6"/>
      <c r="J20" s="7">
        <f t="shared" si="9"/>
        <v>0</v>
      </c>
      <c r="K20" s="6"/>
      <c r="L20" s="7">
        <f t="shared" si="10"/>
        <v>0</v>
      </c>
      <c r="M20" s="6"/>
      <c r="N20" s="7">
        <f>IF(M20=0,,($M$9-M20)*$M$7*100/$M$9)</f>
        <v>0</v>
      </c>
      <c r="O20" s="6"/>
      <c r="P20" s="7">
        <f>IF(O20=0,,($O$9-O20)*$O$7*100/$O$9)</f>
        <v>0</v>
      </c>
      <c r="Q20" s="6">
        <v>5</v>
      </c>
      <c r="R20" s="7">
        <f t="shared" si="4"/>
        <v>88.888888888888886</v>
      </c>
      <c r="S20" s="8">
        <f t="shared" si="11"/>
        <v>0</v>
      </c>
      <c r="T20" s="6">
        <f t="shared" si="5"/>
        <v>1</v>
      </c>
      <c r="U20" s="6">
        <f t="shared" si="6"/>
        <v>10</v>
      </c>
      <c r="V20" s="17">
        <f t="shared" si="7"/>
        <v>0.14285714285714285</v>
      </c>
    </row>
    <row r="21" spans="1:22" x14ac:dyDescent="0.3">
      <c r="A21" s="5">
        <f t="shared" si="0"/>
        <v>11</v>
      </c>
      <c r="B21" s="6" t="s">
        <v>547</v>
      </c>
      <c r="C21" s="6" t="s">
        <v>548</v>
      </c>
      <c r="D21" s="6" t="s">
        <v>117</v>
      </c>
      <c r="E21" s="6"/>
      <c r="F21" s="6">
        <f t="shared" si="1"/>
        <v>0</v>
      </c>
      <c r="G21" s="6"/>
      <c r="H21" s="7">
        <f t="shared" si="8"/>
        <v>0</v>
      </c>
      <c r="I21" s="6"/>
      <c r="J21" s="7">
        <f t="shared" si="9"/>
        <v>0</v>
      </c>
      <c r="K21" s="6"/>
      <c r="L21" s="7">
        <f t="shared" si="10"/>
        <v>0</v>
      </c>
      <c r="M21" s="6"/>
      <c r="N21" s="7">
        <f>IF(M21=0,,($M$9-M21)*$M$7*100/$M$9)</f>
        <v>0</v>
      </c>
      <c r="O21" s="6"/>
      <c r="P21" s="7">
        <f>IF(O21=0,,($O$9-O21)*$O$7*100/$O$9)</f>
        <v>0</v>
      </c>
      <c r="Q21" s="6">
        <v>9</v>
      </c>
      <c r="R21" s="7">
        <f>22/2</f>
        <v>11</v>
      </c>
      <c r="S21" s="8">
        <f t="shared" si="11"/>
        <v>0</v>
      </c>
      <c r="T21" s="6">
        <f t="shared" si="5"/>
        <v>1</v>
      </c>
      <c r="U21" s="6">
        <f t="shared" si="6"/>
        <v>11</v>
      </c>
      <c r="V21" s="17">
        <f t="shared" si="7"/>
        <v>0.14285714285714285</v>
      </c>
    </row>
    <row r="22" spans="1:22" x14ac:dyDescent="0.3">
      <c r="A22" s="5">
        <f t="shared" ref="A22:A23" si="12">U22</f>
        <v>12</v>
      </c>
      <c r="B22" s="6"/>
      <c r="C22" s="6"/>
      <c r="D22" s="6"/>
      <c r="E22" s="6"/>
      <c r="F22" s="6">
        <f t="shared" ref="F22:F24" si="13">IF(E22=0,,($E$9-E22)*$E$7*100/$E$9)</f>
        <v>0</v>
      </c>
      <c r="G22" s="6"/>
      <c r="H22" s="7">
        <f t="shared" ref="H22:H24" si="14">IF(G22=0,,($G$9-G22)*$G$7*100/$G$9)</f>
        <v>0</v>
      </c>
      <c r="I22" s="6"/>
      <c r="J22" s="7">
        <f t="shared" ref="J22:J24" si="15">IF(I22=0,,($I$9-I22)*$I$7*100/$I$9)</f>
        <v>0</v>
      </c>
      <c r="K22" s="6"/>
      <c r="L22" s="7">
        <f t="shared" ref="L22:L24" si="16">IF(K22=0,,($K$9-K22)*$K$7*100/$K$9)</f>
        <v>0</v>
      </c>
      <c r="M22" s="6"/>
      <c r="N22" s="7">
        <f t="shared" ref="N22:N24" si="17">IF(M22=0,,($M$9-M22)*$M$7*100/$M$9)</f>
        <v>0</v>
      </c>
      <c r="O22" s="6"/>
      <c r="P22" s="7">
        <f t="shared" ref="P22:P24" si="18">IF(O22=0,,($O$9-O22)*$O$7*100/$O$9)</f>
        <v>0</v>
      </c>
      <c r="Q22" s="6"/>
      <c r="R22" s="7">
        <f t="shared" ref="R22:R24" si="19">IF(Q22=0,,($Q$9-Q22)*$Q$7*100/$Q$9)</f>
        <v>0</v>
      </c>
      <c r="S22" s="8">
        <f t="shared" ref="S22:S24" si="20">P22+N22+J22+H22+F22+L22</f>
        <v>0</v>
      </c>
      <c r="T22" s="6">
        <f t="shared" ref="T22:T24" si="21">COUNTA(E22,G22,I22,K22,M22,O22,Q22)</f>
        <v>0</v>
      </c>
      <c r="U22" s="6">
        <f t="shared" ref="U22:U23" si="22">ROW(B22)-10</f>
        <v>12</v>
      </c>
      <c r="V22" s="17">
        <f t="shared" ref="V22:V24" si="23">T22/$G$3</f>
        <v>0</v>
      </c>
    </row>
    <row r="23" spans="1:22" x14ac:dyDescent="0.3">
      <c r="A23" s="5">
        <f t="shared" si="12"/>
        <v>13</v>
      </c>
      <c r="B23" s="6"/>
      <c r="C23" s="6"/>
      <c r="D23" s="6"/>
      <c r="E23" s="6"/>
      <c r="F23" s="6">
        <f t="shared" si="13"/>
        <v>0</v>
      </c>
      <c r="G23" s="6"/>
      <c r="H23" s="7">
        <f t="shared" si="14"/>
        <v>0</v>
      </c>
      <c r="I23" s="6"/>
      <c r="J23" s="7">
        <f t="shared" si="15"/>
        <v>0</v>
      </c>
      <c r="K23" s="6"/>
      <c r="L23" s="7">
        <f t="shared" si="16"/>
        <v>0</v>
      </c>
      <c r="M23" s="6"/>
      <c r="N23" s="7">
        <f t="shared" si="17"/>
        <v>0</v>
      </c>
      <c r="O23" s="6"/>
      <c r="P23" s="7">
        <f t="shared" si="18"/>
        <v>0</v>
      </c>
      <c r="Q23" s="6"/>
      <c r="R23" s="7">
        <f t="shared" si="19"/>
        <v>0</v>
      </c>
      <c r="S23" s="8">
        <f t="shared" si="20"/>
        <v>0</v>
      </c>
      <c r="T23" s="6">
        <f t="shared" si="21"/>
        <v>0</v>
      </c>
      <c r="U23" s="6">
        <f t="shared" si="22"/>
        <v>13</v>
      </c>
      <c r="V23" s="17">
        <f t="shared" si="23"/>
        <v>0</v>
      </c>
    </row>
    <row r="24" spans="1:22" x14ac:dyDescent="0.3">
      <c r="A24" s="5">
        <f t="shared" ref="A24" si="24">U24</f>
        <v>14</v>
      </c>
      <c r="B24" s="6"/>
      <c r="C24" s="6"/>
      <c r="D24" s="6"/>
      <c r="E24" s="6"/>
      <c r="F24" s="6">
        <f t="shared" si="13"/>
        <v>0</v>
      </c>
      <c r="G24" s="6"/>
      <c r="H24" s="7">
        <f t="shared" si="14"/>
        <v>0</v>
      </c>
      <c r="I24" s="6"/>
      <c r="J24" s="7">
        <f t="shared" si="15"/>
        <v>0</v>
      </c>
      <c r="K24" s="6"/>
      <c r="L24" s="7">
        <f t="shared" si="16"/>
        <v>0</v>
      </c>
      <c r="M24" s="6"/>
      <c r="N24" s="7">
        <f t="shared" si="17"/>
        <v>0</v>
      </c>
      <c r="O24" s="6"/>
      <c r="P24" s="7">
        <f t="shared" si="18"/>
        <v>0</v>
      </c>
      <c r="Q24" s="6"/>
      <c r="R24" s="7">
        <f t="shared" si="19"/>
        <v>0</v>
      </c>
      <c r="S24" s="8">
        <f t="shared" si="20"/>
        <v>0</v>
      </c>
      <c r="T24" s="6">
        <f t="shared" si="21"/>
        <v>0</v>
      </c>
      <c r="U24" s="6">
        <f t="shared" ref="U24" si="25">ROW(B24)-10</f>
        <v>14</v>
      </c>
      <c r="V24" s="17">
        <f t="shared" si="23"/>
        <v>0</v>
      </c>
    </row>
    <row r="25" spans="1:22" x14ac:dyDescent="0.3">
      <c r="A25" s="29" t="s">
        <v>18</v>
      </c>
      <c r="B25" s="29"/>
      <c r="C25" s="30"/>
      <c r="E25">
        <f>COUNTA(E11:E24)</f>
        <v>0</v>
      </c>
      <c r="G25">
        <f>COUNTA(G11:G24)</f>
        <v>6</v>
      </c>
      <c r="I25">
        <f>COUNTA(I11:I24)</f>
        <v>5</v>
      </c>
      <c r="K25">
        <f>COUNTA(K11:K24)</f>
        <v>3</v>
      </c>
      <c r="M25">
        <f>COUNTA(M11:M24)</f>
        <v>6</v>
      </c>
      <c r="O25">
        <f>COUNTA(O11:O24)</f>
        <v>5</v>
      </c>
      <c r="Q25">
        <f>COUNTA(Q11:Q24)</f>
        <v>9</v>
      </c>
    </row>
    <row r="26" spans="1:22" x14ac:dyDescent="0.3">
      <c r="A26" s="32" t="s">
        <v>40</v>
      </c>
      <c r="B26" s="32"/>
      <c r="C26" s="32"/>
      <c r="E26" s="16">
        <f>E25/$G$2</f>
        <v>0</v>
      </c>
      <c r="G26" s="16">
        <f>G25/$G$2</f>
        <v>0.54545454545454541</v>
      </c>
      <c r="I26" s="16">
        <f>I25/$G$2</f>
        <v>0.45454545454545453</v>
      </c>
      <c r="K26" s="16">
        <f>K25/$G$2</f>
        <v>0.27272727272727271</v>
      </c>
      <c r="M26" s="16">
        <f>M25/$G$2</f>
        <v>0.54545454545454541</v>
      </c>
      <c r="O26" s="16">
        <f>O25/$G$2</f>
        <v>0.45454545454545453</v>
      </c>
      <c r="Q26" s="16">
        <f>Q25/$G$2</f>
        <v>0.81818181818181823</v>
      </c>
    </row>
  </sheetData>
  <sortState xmlns:xlrd2="http://schemas.microsoft.com/office/spreadsheetml/2017/richdata2" ref="A11:V21">
    <sortCondition descending="1" ref="S11:S21"/>
  </sortState>
  <mergeCells count="33">
    <mergeCell ref="A26:C26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26"/>
  <sheetViews>
    <sheetView zoomScale="92" zoomScaleNormal="92" workbookViewId="0">
      <pane xSplit="3" ySplit="10" topLeftCell="E11" activePane="bottomRight" state="frozenSplit"/>
      <selection activeCell="D26" sqref="D26"/>
      <selection pane="topRight" activeCell="D26" sqref="D26"/>
      <selection pane="bottomLeft" activeCell="D26" sqref="D26"/>
      <selection pane="bottomRight" activeCell="K11" sqref="K11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88671875" bestFit="1" customWidth="1"/>
    <col min="5" max="5" width="11.44140625" customWidth="1"/>
    <col min="6" max="6" width="17.6640625" customWidth="1"/>
    <col min="7" max="7" width="15.88671875" customWidth="1"/>
    <col min="8" max="8" width="17.44140625" customWidth="1"/>
    <col min="9" max="9" width="15.88671875" customWidth="1"/>
    <col min="10" max="10" width="17.44140625" customWidth="1"/>
    <col min="11" max="11" width="15.88671875" customWidth="1"/>
    <col min="12" max="12" width="17.44140625" customWidth="1"/>
    <col min="13" max="18" width="11.44140625" customWidth="1"/>
    <col min="20" max="20" width="12.33203125" bestFit="1" customWidth="1"/>
    <col min="21" max="21" width="18.33203125" bestFit="1" customWidth="1"/>
    <col min="22" max="22" width="19.6640625" bestFit="1" customWidth="1"/>
  </cols>
  <sheetData>
    <row r="1" spans="1:19" ht="31.2" x14ac:dyDescent="0.6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3">
      <c r="E2" s="33" t="s">
        <v>36</v>
      </c>
      <c r="F2" s="33"/>
      <c r="G2" s="15">
        <f>COUNTA(B11:B24)</f>
        <v>11</v>
      </c>
    </row>
    <row r="3" spans="1:19" x14ac:dyDescent="0.3">
      <c r="B3" s="2"/>
      <c r="E3" s="33" t="s">
        <v>38</v>
      </c>
      <c r="F3" s="33"/>
      <c r="G3" s="15">
        <f>COUNTA(E8:J8)</f>
        <v>3</v>
      </c>
    </row>
    <row r="4" spans="1:19" x14ac:dyDescent="0.3">
      <c r="B4" s="2"/>
      <c r="C4" s="3"/>
    </row>
    <row r="6" spans="1:19" x14ac:dyDescent="0.3">
      <c r="D6" s="1" t="s">
        <v>0</v>
      </c>
      <c r="E6" s="25" t="s">
        <v>49</v>
      </c>
      <c r="F6" s="26"/>
      <c r="G6" s="28" t="s">
        <v>463</v>
      </c>
      <c r="H6" s="28"/>
      <c r="I6" s="28" t="s">
        <v>26</v>
      </c>
      <c r="J6" s="28"/>
    </row>
    <row r="7" spans="1:19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</row>
    <row r="8" spans="1:19" x14ac:dyDescent="0.3">
      <c r="D8" s="1" t="s">
        <v>1</v>
      </c>
      <c r="E8" s="34">
        <v>45263</v>
      </c>
      <c r="F8" s="35"/>
      <c r="G8" s="31">
        <v>45333</v>
      </c>
      <c r="H8" s="31"/>
      <c r="I8" s="31">
        <v>45389</v>
      </c>
      <c r="J8" s="31"/>
    </row>
    <row r="9" spans="1:19" x14ac:dyDescent="0.3">
      <c r="D9" s="1" t="s">
        <v>2</v>
      </c>
      <c r="E9" s="25">
        <v>6</v>
      </c>
      <c r="F9" s="26"/>
      <c r="G9" s="28">
        <v>5</v>
      </c>
      <c r="H9" s="28"/>
      <c r="I9" s="28">
        <v>9</v>
      </c>
      <c r="J9" s="28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39</v>
      </c>
      <c r="M10" s="1" t="s">
        <v>9</v>
      </c>
      <c r="N10" s="1" t="s">
        <v>41</v>
      </c>
    </row>
    <row r="11" spans="1:19" x14ac:dyDescent="0.3">
      <c r="A11" s="5">
        <f t="shared" ref="A11:A24" si="0">M11</f>
        <v>1</v>
      </c>
      <c r="B11" s="6" t="s">
        <v>227</v>
      </c>
      <c r="C11" s="6" t="s">
        <v>228</v>
      </c>
      <c r="D11" s="6" t="s">
        <v>116</v>
      </c>
      <c r="E11" s="6">
        <v>1</v>
      </c>
      <c r="F11" s="20">
        <f>IF(E11=0,,($E$9-E11)*$E$7*100/$E$9)</f>
        <v>166.66666666666666</v>
      </c>
      <c r="G11" s="6">
        <v>1</v>
      </c>
      <c r="H11" s="20">
        <f>IF(G11=0,,($G$9-G11)*$G$7*100/$G$9)</f>
        <v>160</v>
      </c>
      <c r="I11" s="6">
        <v>1</v>
      </c>
      <c r="J11" s="7">
        <f t="shared" ref="J11:J19" si="1">IF(I11=0,,($I$9-I11)*$I$7*100/$I$9)</f>
        <v>177.77777777777777</v>
      </c>
      <c r="K11" s="8">
        <f>F11+H11+J11</f>
        <v>504.4444444444444</v>
      </c>
      <c r="L11" s="6">
        <f>COUNTA(#REF!,#REF!,#REF!,#REF!,E11,G11,I11)</f>
        <v>7</v>
      </c>
      <c r="M11" s="6">
        <f t="shared" ref="M11:M24" si="2">ROW(B11)-10</f>
        <v>1</v>
      </c>
      <c r="N11" s="17">
        <f t="shared" ref="N11:N24" si="3">L11/$G$3</f>
        <v>2.3333333333333335</v>
      </c>
    </row>
    <row r="12" spans="1:19" x14ac:dyDescent="0.3">
      <c r="A12" s="5">
        <f t="shared" si="0"/>
        <v>2</v>
      </c>
      <c r="B12" s="6" t="s">
        <v>237</v>
      </c>
      <c r="C12" s="6" t="s">
        <v>232</v>
      </c>
      <c r="D12" s="6" t="s">
        <v>117</v>
      </c>
      <c r="E12" s="6">
        <v>3</v>
      </c>
      <c r="F12" s="7">
        <f>IF(E12=0,,($E$9-E12)*$E$7*100/$E$9)</f>
        <v>100</v>
      </c>
      <c r="G12" s="6">
        <v>2</v>
      </c>
      <c r="H12" s="7">
        <f>IF(G12=0,,($G$9-G12)*$G$7*100/$G$9)</f>
        <v>120</v>
      </c>
      <c r="I12" s="6">
        <v>7</v>
      </c>
      <c r="J12" s="7">
        <f t="shared" si="1"/>
        <v>44.444444444444443</v>
      </c>
      <c r="K12" s="8">
        <f t="shared" ref="K12:K24" si="4">F12+H12+J12</f>
        <v>264.44444444444446</v>
      </c>
      <c r="L12" s="6">
        <f>COUNTA(#REF!,#REF!,#REF!,#REF!,E12,G12,I12)</f>
        <v>7</v>
      </c>
      <c r="M12" s="6">
        <f t="shared" si="2"/>
        <v>2</v>
      </c>
      <c r="N12" s="17">
        <f t="shared" si="3"/>
        <v>2.3333333333333335</v>
      </c>
    </row>
    <row r="13" spans="1:19" x14ac:dyDescent="0.3">
      <c r="A13" s="5">
        <f t="shared" si="0"/>
        <v>3</v>
      </c>
      <c r="B13" s="6" t="s">
        <v>238</v>
      </c>
      <c r="C13" s="6" t="s">
        <v>233</v>
      </c>
      <c r="D13" s="6" t="s">
        <v>117</v>
      </c>
      <c r="E13" s="6"/>
      <c r="F13" s="7">
        <f>IF(E13=0,,($E$9-E13)*$E$7*100/$E$9)</f>
        <v>0</v>
      </c>
      <c r="G13" s="6">
        <v>3</v>
      </c>
      <c r="H13" s="7">
        <f>IF(G13=0,,($G$9-G13)*$G$7*100/$G$9)</f>
        <v>80</v>
      </c>
      <c r="I13" s="6">
        <v>2</v>
      </c>
      <c r="J13" s="7">
        <f t="shared" si="1"/>
        <v>155.55555555555554</v>
      </c>
      <c r="K13" s="8">
        <f t="shared" si="4"/>
        <v>235.55555555555554</v>
      </c>
      <c r="L13" s="6">
        <f>COUNTA(#REF!,#REF!,#REF!,#REF!,E13,G13,I13)</f>
        <v>6</v>
      </c>
      <c r="M13" s="6">
        <f t="shared" si="2"/>
        <v>3</v>
      </c>
      <c r="N13" s="17">
        <f t="shared" si="3"/>
        <v>2</v>
      </c>
    </row>
    <row r="14" spans="1:19" x14ac:dyDescent="0.3">
      <c r="A14" s="5">
        <f t="shared" si="0"/>
        <v>4</v>
      </c>
      <c r="B14" s="6" t="s">
        <v>234</v>
      </c>
      <c r="C14" s="6" t="s">
        <v>229</v>
      </c>
      <c r="D14" s="6" t="s">
        <v>117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80</v>
      </c>
      <c r="I14" s="6">
        <v>3</v>
      </c>
      <c r="J14" s="7">
        <f t="shared" si="1"/>
        <v>133.33333333333334</v>
      </c>
      <c r="K14" s="8">
        <f t="shared" si="4"/>
        <v>213.33333333333334</v>
      </c>
      <c r="L14" s="6">
        <f>COUNTA(#REF!,#REF!,#REF!,#REF!,E14,G14,I14)</f>
        <v>6</v>
      </c>
      <c r="M14" s="6">
        <f t="shared" si="2"/>
        <v>4</v>
      </c>
      <c r="N14" s="17">
        <f t="shared" si="3"/>
        <v>2</v>
      </c>
    </row>
    <row r="15" spans="1:19" x14ac:dyDescent="0.3">
      <c r="A15" s="5">
        <f t="shared" si="0"/>
        <v>5</v>
      </c>
      <c r="B15" s="6" t="s">
        <v>235</v>
      </c>
      <c r="C15" s="6" t="s">
        <v>230</v>
      </c>
      <c r="D15" s="6" t="s">
        <v>90</v>
      </c>
      <c r="E15" s="6">
        <v>2</v>
      </c>
      <c r="F15" s="7">
        <f>IF(E15=0,,($E$9-E15)*$E$7*100/$E$9)</f>
        <v>133.33333333333334</v>
      </c>
      <c r="G15" s="6"/>
      <c r="H15" s="7">
        <f>IF(G15=0,,($G$9-G15)*$G$7*100/$G$9)</f>
        <v>0</v>
      </c>
      <c r="I15" s="6">
        <v>6</v>
      </c>
      <c r="J15" s="7">
        <f t="shared" si="1"/>
        <v>66.666666666666671</v>
      </c>
      <c r="K15" s="8">
        <f t="shared" si="4"/>
        <v>200</v>
      </c>
      <c r="L15" s="6">
        <f>COUNTA(#REF!,#REF!,#REF!,#REF!,E15,G15,I15)</f>
        <v>6</v>
      </c>
      <c r="M15" s="6">
        <f t="shared" si="2"/>
        <v>5</v>
      </c>
      <c r="N15" s="17">
        <f t="shared" si="3"/>
        <v>2</v>
      </c>
    </row>
    <row r="16" spans="1:19" x14ac:dyDescent="0.3">
      <c r="A16" s="6">
        <f t="shared" si="0"/>
        <v>6</v>
      </c>
      <c r="B16" s="6" t="s">
        <v>424</v>
      </c>
      <c r="C16" s="6" t="s">
        <v>425</v>
      </c>
      <c r="D16" s="6" t="s">
        <v>117</v>
      </c>
      <c r="E16" s="6">
        <v>6</v>
      </c>
      <c r="F16" s="7">
        <f>33/2</f>
        <v>16.5</v>
      </c>
      <c r="G16" s="6">
        <v>5</v>
      </c>
      <c r="H16" s="7">
        <f>40/2</f>
        <v>20</v>
      </c>
      <c r="I16" s="6">
        <v>3</v>
      </c>
      <c r="J16" s="7">
        <f t="shared" si="1"/>
        <v>133.33333333333334</v>
      </c>
      <c r="K16" s="8">
        <f t="shared" si="4"/>
        <v>169.83333333333334</v>
      </c>
      <c r="L16" s="6">
        <f>COUNTA(#REF!,#REF!,#REF!,#REF!,E16,G16,I16)</f>
        <v>7</v>
      </c>
      <c r="M16" s="6">
        <f t="shared" si="2"/>
        <v>6</v>
      </c>
      <c r="N16" s="17">
        <f t="shared" si="3"/>
        <v>2.3333333333333335</v>
      </c>
    </row>
    <row r="17" spans="1:14" x14ac:dyDescent="0.3">
      <c r="A17" s="5">
        <f t="shared" si="0"/>
        <v>7</v>
      </c>
      <c r="B17" s="6" t="s">
        <v>236</v>
      </c>
      <c r="C17" s="6" t="s">
        <v>231</v>
      </c>
      <c r="D17" s="6" t="s">
        <v>100</v>
      </c>
      <c r="E17" s="6">
        <v>3</v>
      </c>
      <c r="F17" s="7">
        <f t="shared" ref="F17:F24" si="5">IF(E17=0,,($E$9-E17)*$E$7*100/$E$9)</f>
        <v>100</v>
      </c>
      <c r="G17" s="6"/>
      <c r="H17" s="7">
        <f t="shared" ref="H17:H24" si="6">IF(G17=0,,($G$9-G17)*$G$7*100/$G$9)</f>
        <v>0</v>
      </c>
      <c r="I17" s="6">
        <v>8</v>
      </c>
      <c r="J17" s="7">
        <f t="shared" si="1"/>
        <v>22.222222222222221</v>
      </c>
      <c r="K17" s="8">
        <f t="shared" si="4"/>
        <v>122.22222222222223</v>
      </c>
      <c r="L17" s="6">
        <f>COUNTA(#REF!,#REF!,#REF!,#REF!,E17,G17,I17)</f>
        <v>6</v>
      </c>
      <c r="M17" s="6">
        <f t="shared" si="2"/>
        <v>7</v>
      </c>
      <c r="N17" s="17">
        <f t="shared" si="3"/>
        <v>2</v>
      </c>
    </row>
    <row r="18" spans="1:14" x14ac:dyDescent="0.3">
      <c r="A18" s="5">
        <f t="shared" si="0"/>
        <v>8</v>
      </c>
      <c r="B18" s="6" t="s">
        <v>545</v>
      </c>
      <c r="C18" s="6" t="s">
        <v>546</v>
      </c>
      <c r="D18" s="6" t="s">
        <v>205</v>
      </c>
      <c r="E18" s="6"/>
      <c r="F18" s="7">
        <f t="shared" si="5"/>
        <v>0</v>
      </c>
      <c r="G18" s="6"/>
      <c r="H18" s="7">
        <f t="shared" si="6"/>
        <v>0</v>
      </c>
      <c r="I18" s="6">
        <v>5</v>
      </c>
      <c r="J18" s="7">
        <f t="shared" si="1"/>
        <v>88.888888888888886</v>
      </c>
      <c r="K18" s="8">
        <f t="shared" si="4"/>
        <v>88.888888888888886</v>
      </c>
      <c r="L18" s="6">
        <f>COUNTA(#REF!,#REF!,#REF!,#REF!,E18,G18,I18)</f>
        <v>5</v>
      </c>
      <c r="M18" s="6">
        <f t="shared" si="2"/>
        <v>8</v>
      </c>
      <c r="N18" s="17">
        <f t="shared" si="3"/>
        <v>1.6666666666666667</v>
      </c>
    </row>
    <row r="19" spans="1:14" x14ac:dyDescent="0.3">
      <c r="A19" s="5">
        <f t="shared" si="0"/>
        <v>9</v>
      </c>
      <c r="B19" s="6" t="s">
        <v>422</v>
      </c>
      <c r="C19" s="6" t="s">
        <v>423</v>
      </c>
      <c r="D19" s="6"/>
      <c r="E19" s="6">
        <v>5</v>
      </c>
      <c r="F19" s="7">
        <f t="shared" si="5"/>
        <v>33.333333333333336</v>
      </c>
      <c r="G19" s="6"/>
      <c r="H19" s="7">
        <f t="shared" si="6"/>
        <v>0</v>
      </c>
      <c r="I19" s="6"/>
      <c r="J19" s="7">
        <f t="shared" si="1"/>
        <v>0</v>
      </c>
      <c r="K19" s="8">
        <f t="shared" si="4"/>
        <v>33.333333333333336</v>
      </c>
      <c r="L19" s="6">
        <f>COUNTA(#REF!,#REF!,#REF!,#REF!,E19,G19,I19)</f>
        <v>5</v>
      </c>
      <c r="M19" s="6">
        <f t="shared" si="2"/>
        <v>9</v>
      </c>
      <c r="N19" s="17">
        <f t="shared" si="3"/>
        <v>1.6666666666666667</v>
      </c>
    </row>
    <row r="20" spans="1:14" x14ac:dyDescent="0.3">
      <c r="A20" s="5">
        <f t="shared" si="0"/>
        <v>10</v>
      </c>
      <c r="B20" s="6" t="s">
        <v>547</v>
      </c>
      <c r="C20" s="6" t="s">
        <v>548</v>
      </c>
      <c r="D20" s="6" t="s">
        <v>117</v>
      </c>
      <c r="E20" s="6"/>
      <c r="F20" s="7">
        <f t="shared" si="5"/>
        <v>0</v>
      </c>
      <c r="G20" s="6"/>
      <c r="H20" s="7">
        <f t="shared" si="6"/>
        <v>0</v>
      </c>
      <c r="I20" s="6">
        <v>9</v>
      </c>
      <c r="J20" s="7">
        <f>22/2</f>
        <v>11</v>
      </c>
      <c r="K20" s="8">
        <f t="shared" si="4"/>
        <v>11</v>
      </c>
      <c r="L20" s="6">
        <f>COUNTA(#REF!,#REF!,#REF!,#REF!,E20,G20,I20)</f>
        <v>5</v>
      </c>
      <c r="M20" s="6">
        <f t="shared" si="2"/>
        <v>10</v>
      </c>
      <c r="N20" s="17">
        <f t="shared" si="3"/>
        <v>1.6666666666666667</v>
      </c>
    </row>
    <row r="21" spans="1:14" x14ac:dyDescent="0.3">
      <c r="A21" s="5">
        <f t="shared" si="0"/>
        <v>11</v>
      </c>
      <c r="B21" s="6" t="s">
        <v>367</v>
      </c>
      <c r="C21" s="6" t="s">
        <v>229</v>
      </c>
      <c r="D21" s="6" t="s">
        <v>205</v>
      </c>
      <c r="E21" s="6"/>
      <c r="F21" s="7">
        <f t="shared" si="5"/>
        <v>0</v>
      </c>
      <c r="G21" s="6"/>
      <c r="H21" s="7">
        <f t="shared" si="6"/>
        <v>0</v>
      </c>
      <c r="I21" s="6"/>
      <c r="J21" s="7">
        <f>IF(I21=0,,($I$9-I21)*$I$7*100/$I$9)</f>
        <v>0</v>
      </c>
      <c r="K21" s="8">
        <f t="shared" si="4"/>
        <v>0</v>
      </c>
      <c r="L21" s="6">
        <f>COUNTA(#REF!,#REF!,#REF!,#REF!,E21,G21,I21)</f>
        <v>4</v>
      </c>
      <c r="M21" s="6">
        <f t="shared" si="2"/>
        <v>11</v>
      </c>
      <c r="N21" s="17">
        <f t="shared" si="3"/>
        <v>1.3333333333333333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7">
        <f t="shared" si="5"/>
        <v>0</v>
      </c>
      <c r="G22" s="6"/>
      <c r="H22" s="7">
        <f t="shared" si="6"/>
        <v>0</v>
      </c>
      <c r="I22" s="6"/>
      <c r="J22" s="7">
        <f>IF(I22=0,,($I$9-I22)*$I$7*100/$I$9)</f>
        <v>0</v>
      </c>
      <c r="K22" s="8">
        <f t="shared" si="4"/>
        <v>0</v>
      </c>
      <c r="L22" s="6">
        <f>COUNTA(#REF!,#REF!,#REF!,#REF!,E22,G22,I22)</f>
        <v>4</v>
      </c>
      <c r="M22" s="6">
        <f t="shared" si="2"/>
        <v>12</v>
      </c>
      <c r="N22" s="17">
        <f t="shared" si="3"/>
        <v>1.3333333333333333</v>
      </c>
    </row>
    <row r="23" spans="1:14" x14ac:dyDescent="0.3">
      <c r="A23" s="5">
        <f t="shared" si="0"/>
        <v>13</v>
      </c>
      <c r="B23" s="6"/>
      <c r="C23" s="6"/>
      <c r="D23" s="6"/>
      <c r="E23" s="6"/>
      <c r="F23" s="7">
        <f t="shared" si="5"/>
        <v>0</v>
      </c>
      <c r="G23" s="6"/>
      <c r="H23" s="7">
        <f t="shared" si="6"/>
        <v>0</v>
      </c>
      <c r="I23" s="6"/>
      <c r="J23" s="7">
        <f>IF(I23=0,,($I$9-I23)*$I$7*100/$I$9)</f>
        <v>0</v>
      </c>
      <c r="K23" s="8">
        <f t="shared" si="4"/>
        <v>0</v>
      </c>
      <c r="L23" s="6">
        <f>COUNTA(#REF!,#REF!,#REF!,#REF!,E23,G23,I23)</f>
        <v>4</v>
      </c>
      <c r="M23" s="6">
        <f t="shared" si="2"/>
        <v>13</v>
      </c>
      <c r="N23" s="17">
        <f t="shared" si="3"/>
        <v>1.3333333333333333</v>
      </c>
    </row>
    <row r="24" spans="1:14" x14ac:dyDescent="0.3">
      <c r="A24" s="5">
        <f t="shared" si="0"/>
        <v>14</v>
      </c>
      <c r="B24" s="6"/>
      <c r="C24" s="6"/>
      <c r="D24" s="6"/>
      <c r="E24" s="6"/>
      <c r="F24" s="7">
        <f t="shared" si="5"/>
        <v>0</v>
      </c>
      <c r="G24" s="6"/>
      <c r="H24" s="7">
        <f t="shared" si="6"/>
        <v>0</v>
      </c>
      <c r="I24" s="6"/>
      <c r="J24" s="7">
        <f>IF(I24=0,,($I$9-I24)*$I$7*100/$I$9)</f>
        <v>0</v>
      </c>
      <c r="K24" s="8">
        <f t="shared" si="4"/>
        <v>0</v>
      </c>
      <c r="L24" s="6">
        <f>COUNTA(#REF!,#REF!,#REF!,#REF!,E24,G24,I24)</f>
        <v>4</v>
      </c>
      <c r="M24" s="6">
        <f t="shared" si="2"/>
        <v>14</v>
      </c>
      <c r="N24" s="17">
        <f t="shared" si="3"/>
        <v>1.3333333333333333</v>
      </c>
    </row>
    <row r="25" spans="1:14" x14ac:dyDescent="0.3">
      <c r="A25" s="29" t="s">
        <v>18</v>
      </c>
      <c r="B25" s="29"/>
      <c r="C25" s="30"/>
      <c r="E25">
        <f>COUNTA(E11:E24)</f>
        <v>6</v>
      </c>
      <c r="G25">
        <f>COUNTA(G11:G24)</f>
        <v>5</v>
      </c>
      <c r="I25">
        <f>COUNTA(I11:I24)</f>
        <v>9</v>
      </c>
    </row>
    <row r="26" spans="1:14" x14ac:dyDescent="0.3">
      <c r="A26" s="32" t="s">
        <v>40</v>
      </c>
      <c r="B26" s="32"/>
      <c r="C26" s="32"/>
      <c r="E26" s="16">
        <f>E25/$G$2</f>
        <v>0.54545454545454541</v>
      </c>
      <c r="G26" s="16">
        <f>G25/$G$2</f>
        <v>0.45454545454545453</v>
      </c>
      <c r="I26" s="16">
        <f>I25/$G$2</f>
        <v>0.81818181818181823</v>
      </c>
    </row>
  </sheetData>
  <sortState xmlns:xlrd2="http://schemas.microsoft.com/office/spreadsheetml/2017/richdata2" ref="A11:N24">
    <sortCondition descending="1" ref="K11:K24"/>
  </sortState>
  <mergeCells count="17">
    <mergeCell ref="A1:S1"/>
    <mergeCell ref="E2:F2"/>
    <mergeCell ref="E3:F3"/>
    <mergeCell ref="E6:F6"/>
    <mergeCell ref="G6:H6"/>
    <mergeCell ref="I6:J6"/>
    <mergeCell ref="I7:J7"/>
    <mergeCell ref="E8:F8"/>
    <mergeCell ref="G8:H8"/>
    <mergeCell ref="I8:J8"/>
    <mergeCell ref="E7:F7"/>
    <mergeCell ref="G7:H7"/>
    <mergeCell ref="I9:J9"/>
    <mergeCell ref="A25:C25"/>
    <mergeCell ref="A26:C26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51"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2"/>
  <sheetViews>
    <sheetView workbookViewId="0">
      <pane xSplit="3" ySplit="10" topLeftCell="D26" activePane="bottomRight" state="frozenSplit"/>
      <selection activeCell="D26" sqref="D26"/>
      <selection pane="topRight" activeCell="D26" sqref="D26"/>
      <selection pane="bottomLeft" activeCell="D26" sqref="D26"/>
      <selection pane="bottomRight" activeCell="J22" sqref="J22"/>
    </sheetView>
  </sheetViews>
  <sheetFormatPr baseColWidth="10" defaultRowHeight="14.4" x14ac:dyDescent="0.3"/>
  <cols>
    <col min="1" max="1" width="18.33203125" bestFit="1" customWidth="1"/>
    <col min="2" max="2" width="31.88671875" bestFit="1" customWidth="1"/>
    <col min="4" max="4" width="14.886718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2.33203125" bestFit="1" customWidth="1"/>
    <col min="16" max="16" width="19.6640625" bestFit="1" customWidth="1"/>
  </cols>
  <sheetData>
    <row r="1" spans="1:16" ht="31.2" x14ac:dyDescent="0.6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x14ac:dyDescent="0.3">
      <c r="E2" s="33" t="s">
        <v>37</v>
      </c>
      <c r="F2" s="33"/>
      <c r="G2" s="15">
        <f>COUNTA(B11:B40)</f>
        <v>25</v>
      </c>
    </row>
    <row r="3" spans="1:16" x14ac:dyDescent="0.3">
      <c r="B3" s="2"/>
      <c r="E3" s="33" t="s">
        <v>38</v>
      </c>
      <c r="F3" s="33"/>
      <c r="G3" s="15">
        <f>COUNTA(E8:L8)</f>
        <v>4</v>
      </c>
    </row>
    <row r="4" spans="1:16" x14ac:dyDescent="0.3">
      <c r="B4" s="2"/>
      <c r="C4" s="3"/>
    </row>
    <row r="6" spans="1:16" x14ac:dyDescent="0.3">
      <c r="D6" s="1" t="s">
        <v>0</v>
      </c>
      <c r="E6" s="28" t="s">
        <v>30</v>
      </c>
      <c r="F6" s="28"/>
      <c r="G6" s="25" t="s">
        <v>49</v>
      </c>
      <c r="H6" s="26"/>
      <c r="I6" s="28" t="s">
        <v>463</v>
      </c>
      <c r="J6" s="28"/>
      <c r="K6" s="28" t="s">
        <v>26</v>
      </c>
      <c r="L6" s="28"/>
    </row>
    <row r="7" spans="1:16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  <c r="K7" s="25">
        <v>2</v>
      </c>
      <c r="L7" s="26"/>
    </row>
    <row r="8" spans="1:16" x14ac:dyDescent="0.3">
      <c r="D8" s="1" t="s">
        <v>1</v>
      </c>
      <c r="E8" s="34">
        <v>45214</v>
      </c>
      <c r="F8" s="35"/>
      <c r="G8" s="34">
        <v>45263</v>
      </c>
      <c r="H8" s="35"/>
      <c r="I8" s="31">
        <v>45333</v>
      </c>
      <c r="J8" s="31"/>
      <c r="K8" s="31">
        <v>45389</v>
      </c>
      <c r="L8" s="31"/>
    </row>
    <row r="9" spans="1:16" x14ac:dyDescent="0.3">
      <c r="D9" s="1" t="s">
        <v>2</v>
      </c>
      <c r="E9" s="28">
        <v>11</v>
      </c>
      <c r="F9" s="28"/>
      <c r="G9" s="25">
        <v>15</v>
      </c>
      <c r="H9" s="26"/>
      <c r="I9" s="28">
        <v>16</v>
      </c>
      <c r="J9" s="28"/>
      <c r="K9" s="28">
        <v>17</v>
      </c>
      <c r="L9" s="28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39</v>
      </c>
      <c r="P10" s="1" t="s">
        <v>41</v>
      </c>
    </row>
    <row r="11" spans="1:16" x14ac:dyDescent="0.3">
      <c r="A11" s="5">
        <f t="shared" ref="A11:A40" si="0">N11</f>
        <v>1</v>
      </c>
      <c r="B11" s="6" t="s">
        <v>224</v>
      </c>
      <c r="C11" s="6" t="s">
        <v>221</v>
      </c>
      <c r="D11" s="6" t="s">
        <v>90</v>
      </c>
      <c r="E11" s="6">
        <v>3</v>
      </c>
      <c r="F11" s="7">
        <f t="shared" ref="F11:F26" si="1">IF(E11=0,,($E$9-E11)*$E$7*100/$E$9)</f>
        <v>145.45454545454547</v>
      </c>
      <c r="G11" s="6">
        <v>2</v>
      </c>
      <c r="H11" s="7">
        <f t="shared" ref="H11:H33" si="2">IF(G11=0,,($G$9-G11)*$G$7*100/$G$9)</f>
        <v>173.33333333333334</v>
      </c>
      <c r="I11" s="6">
        <v>1</v>
      </c>
      <c r="J11" s="7">
        <f t="shared" ref="J11:J32" si="3">IF(I11=0,,($I$9-I11)*$I$7*100/$I$9)</f>
        <v>187.5</v>
      </c>
      <c r="K11" s="6">
        <v>3</v>
      </c>
      <c r="L11" s="7">
        <f t="shared" ref="L11:L34" si="4">IF(K11=0,,($K$9-K11)*$K$7*100/$K$9)</f>
        <v>164.70588235294119</v>
      </c>
      <c r="M11" s="8">
        <f t="shared" ref="M11:M40" si="5">F11+H11+J11+L11</f>
        <v>670.99376114081997</v>
      </c>
      <c r="N11" s="6">
        <f t="shared" ref="N11:N40" si="6">ROW(B11)-10</f>
        <v>1</v>
      </c>
      <c r="O11" s="6">
        <f t="shared" ref="O11:O40" si="7">COUNTA(E11,G11,I11,K11)</f>
        <v>4</v>
      </c>
      <c r="P11" s="17">
        <f t="shared" ref="P11:P40" si="8">O11/$G$3</f>
        <v>1</v>
      </c>
    </row>
    <row r="12" spans="1:16" x14ac:dyDescent="0.3">
      <c r="A12" s="5">
        <f t="shared" si="0"/>
        <v>2</v>
      </c>
      <c r="B12" s="6" t="s">
        <v>235</v>
      </c>
      <c r="C12" s="6" t="s">
        <v>196</v>
      </c>
      <c r="D12" s="6" t="s">
        <v>90</v>
      </c>
      <c r="E12" s="6">
        <v>1</v>
      </c>
      <c r="F12" s="7">
        <f t="shared" si="1"/>
        <v>181.81818181818181</v>
      </c>
      <c r="G12" s="6">
        <v>9</v>
      </c>
      <c r="H12" s="7">
        <f t="shared" si="2"/>
        <v>80</v>
      </c>
      <c r="I12" s="6">
        <v>7</v>
      </c>
      <c r="J12" s="7">
        <f t="shared" si="3"/>
        <v>112.5</v>
      </c>
      <c r="K12" s="6">
        <v>1</v>
      </c>
      <c r="L12" s="7">
        <f t="shared" si="4"/>
        <v>188.23529411764707</v>
      </c>
      <c r="M12" s="8">
        <f t="shared" si="5"/>
        <v>562.55347593582883</v>
      </c>
      <c r="N12" s="6">
        <f t="shared" si="6"/>
        <v>2</v>
      </c>
      <c r="O12" s="6">
        <f t="shared" si="7"/>
        <v>4</v>
      </c>
      <c r="P12" s="17">
        <f t="shared" si="8"/>
        <v>1</v>
      </c>
    </row>
    <row r="13" spans="1:16" x14ac:dyDescent="0.3">
      <c r="A13" s="5">
        <f t="shared" si="0"/>
        <v>3</v>
      </c>
      <c r="B13" s="6" t="s">
        <v>222</v>
      </c>
      <c r="C13" s="6" t="s">
        <v>223</v>
      </c>
      <c r="D13" s="6" t="s">
        <v>90</v>
      </c>
      <c r="E13" s="6">
        <v>4</v>
      </c>
      <c r="F13" s="7">
        <f t="shared" si="1"/>
        <v>127.27272727272727</v>
      </c>
      <c r="G13" s="6">
        <v>8</v>
      </c>
      <c r="H13" s="7">
        <f t="shared" si="2"/>
        <v>93.333333333333329</v>
      </c>
      <c r="I13" s="6">
        <v>2</v>
      </c>
      <c r="J13" s="7">
        <f t="shared" si="3"/>
        <v>175</v>
      </c>
      <c r="K13" s="6">
        <v>11</v>
      </c>
      <c r="L13" s="7">
        <f t="shared" si="4"/>
        <v>70.588235294117652</v>
      </c>
      <c r="M13" s="8">
        <f t="shared" si="5"/>
        <v>466.1942959001783</v>
      </c>
      <c r="N13" s="6">
        <f t="shared" si="6"/>
        <v>3</v>
      </c>
      <c r="O13" s="6">
        <f t="shared" si="7"/>
        <v>4</v>
      </c>
      <c r="P13" s="17">
        <f t="shared" si="8"/>
        <v>1</v>
      </c>
    </row>
    <row r="14" spans="1:16" x14ac:dyDescent="0.3">
      <c r="A14" s="5">
        <f t="shared" si="0"/>
        <v>4</v>
      </c>
      <c r="B14" s="6" t="s">
        <v>411</v>
      </c>
      <c r="C14" s="6" t="s">
        <v>412</v>
      </c>
      <c r="D14" s="6" t="s">
        <v>359</v>
      </c>
      <c r="E14" s="6"/>
      <c r="F14" s="7">
        <f t="shared" si="1"/>
        <v>0</v>
      </c>
      <c r="G14" s="6">
        <v>1</v>
      </c>
      <c r="H14" s="7">
        <f t="shared" si="2"/>
        <v>186.66666666666666</v>
      </c>
      <c r="I14" s="6">
        <v>6</v>
      </c>
      <c r="J14" s="7">
        <f t="shared" si="3"/>
        <v>125</v>
      </c>
      <c r="K14" s="6">
        <v>5</v>
      </c>
      <c r="L14" s="7">
        <f t="shared" si="4"/>
        <v>141.1764705882353</v>
      </c>
      <c r="M14" s="8">
        <f t="shared" si="5"/>
        <v>452.84313725490193</v>
      </c>
      <c r="N14" s="6">
        <f t="shared" si="6"/>
        <v>4</v>
      </c>
      <c r="O14" s="6">
        <f t="shared" si="7"/>
        <v>3</v>
      </c>
      <c r="P14" s="17">
        <f t="shared" si="8"/>
        <v>0.75</v>
      </c>
    </row>
    <row r="15" spans="1:16" x14ac:dyDescent="0.3">
      <c r="A15" s="5">
        <f t="shared" si="0"/>
        <v>5</v>
      </c>
      <c r="B15" s="6" t="s">
        <v>174</v>
      </c>
      <c r="C15" s="6" t="s">
        <v>214</v>
      </c>
      <c r="D15" s="6" t="s">
        <v>108</v>
      </c>
      <c r="E15" s="6">
        <v>9</v>
      </c>
      <c r="F15" s="7">
        <f t="shared" si="1"/>
        <v>36.363636363636367</v>
      </c>
      <c r="G15" s="6">
        <v>6</v>
      </c>
      <c r="H15" s="7">
        <f t="shared" si="2"/>
        <v>120</v>
      </c>
      <c r="I15" s="6">
        <v>3</v>
      </c>
      <c r="J15" s="7">
        <f t="shared" si="3"/>
        <v>162.5</v>
      </c>
      <c r="K15" s="6">
        <v>6</v>
      </c>
      <c r="L15" s="7">
        <f t="shared" si="4"/>
        <v>129.41176470588235</v>
      </c>
      <c r="M15" s="8">
        <f t="shared" si="5"/>
        <v>448.27540106951869</v>
      </c>
      <c r="N15" s="6">
        <f t="shared" si="6"/>
        <v>5</v>
      </c>
      <c r="O15" s="6">
        <f t="shared" si="7"/>
        <v>4</v>
      </c>
      <c r="P15" s="17">
        <f t="shared" si="8"/>
        <v>1</v>
      </c>
    </row>
    <row r="16" spans="1:16" x14ac:dyDescent="0.3">
      <c r="A16" s="5">
        <f t="shared" si="0"/>
        <v>6</v>
      </c>
      <c r="B16" s="6" t="s">
        <v>218</v>
      </c>
      <c r="C16" s="6" t="s">
        <v>219</v>
      </c>
      <c r="D16" s="6" t="s">
        <v>90</v>
      </c>
      <c r="E16" s="6">
        <v>6</v>
      </c>
      <c r="F16" s="7">
        <f t="shared" si="1"/>
        <v>90.909090909090907</v>
      </c>
      <c r="G16" s="6">
        <v>3</v>
      </c>
      <c r="H16" s="7">
        <f t="shared" si="2"/>
        <v>160</v>
      </c>
      <c r="I16" s="6">
        <v>8</v>
      </c>
      <c r="J16" s="7">
        <f t="shared" si="3"/>
        <v>100</v>
      </c>
      <c r="K16" s="6">
        <v>10</v>
      </c>
      <c r="L16" s="7">
        <f t="shared" si="4"/>
        <v>82.352941176470594</v>
      </c>
      <c r="M16" s="8">
        <f t="shared" si="5"/>
        <v>433.26203208556149</v>
      </c>
      <c r="N16" s="6">
        <f t="shared" si="6"/>
        <v>6</v>
      </c>
      <c r="O16" s="6">
        <f t="shared" si="7"/>
        <v>4</v>
      </c>
      <c r="P16" s="17">
        <f t="shared" si="8"/>
        <v>1</v>
      </c>
    </row>
    <row r="17" spans="1:16" x14ac:dyDescent="0.3">
      <c r="A17" s="5">
        <f t="shared" si="0"/>
        <v>7</v>
      </c>
      <c r="B17" s="6" t="s">
        <v>162</v>
      </c>
      <c r="C17" s="6" t="s">
        <v>217</v>
      </c>
      <c r="D17" s="6" t="s">
        <v>100</v>
      </c>
      <c r="E17" s="6">
        <v>7</v>
      </c>
      <c r="F17" s="7">
        <f t="shared" si="1"/>
        <v>72.727272727272734</v>
      </c>
      <c r="G17" s="6">
        <v>7</v>
      </c>
      <c r="H17" s="7">
        <f t="shared" si="2"/>
        <v>106.66666666666667</v>
      </c>
      <c r="I17" s="6">
        <v>9</v>
      </c>
      <c r="J17" s="7">
        <f t="shared" si="3"/>
        <v>87.5</v>
      </c>
      <c r="K17" s="6">
        <v>8</v>
      </c>
      <c r="L17" s="7">
        <f t="shared" si="4"/>
        <v>105.88235294117646</v>
      </c>
      <c r="M17" s="8">
        <f t="shared" si="5"/>
        <v>372.77629233511584</v>
      </c>
      <c r="N17" s="6">
        <f t="shared" si="6"/>
        <v>7</v>
      </c>
      <c r="O17" s="6">
        <f t="shared" si="7"/>
        <v>4</v>
      </c>
      <c r="P17" s="17">
        <f t="shared" si="8"/>
        <v>1</v>
      </c>
    </row>
    <row r="18" spans="1:16" x14ac:dyDescent="0.3">
      <c r="A18" s="5">
        <f t="shared" si="0"/>
        <v>8</v>
      </c>
      <c r="B18" s="6" t="s">
        <v>225</v>
      </c>
      <c r="C18" s="6" t="s">
        <v>226</v>
      </c>
      <c r="D18" s="6" t="s">
        <v>143</v>
      </c>
      <c r="E18" s="6">
        <v>2</v>
      </c>
      <c r="F18" s="7">
        <f t="shared" si="1"/>
        <v>163.63636363636363</v>
      </c>
      <c r="G18" s="6">
        <v>5</v>
      </c>
      <c r="H18" s="7">
        <f t="shared" si="2"/>
        <v>133.33333333333334</v>
      </c>
      <c r="I18" s="6">
        <v>11</v>
      </c>
      <c r="J18" s="7">
        <f t="shared" si="3"/>
        <v>62.5</v>
      </c>
      <c r="K18" s="6"/>
      <c r="L18" s="7">
        <f t="shared" si="4"/>
        <v>0</v>
      </c>
      <c r="M18" s="8">
        <f t="shared" si="5"/>
        <v>359.469696969697</v>
      </c>
      <c r="N18" s="6">
        <f t="shared" si="6"/>
        <v>8</v>
      </c>
      <c r="O18" s="6">
        <f t="shared" si="7"/>
        <v>3</v>
      </c>
      <c r="P18" s="17">
        <f t="shared" si="8"/>
        <v>0.75</v>
      </c>
    </row>
    <row r="19" spans="1:16" x14ac:dyDescent="0.3">
      <c r="A19" s="5">
        <f t="shared" si="0"/>
        <v>9</v>
      </c>
      <c r="B19" s="6" t="s">
        <v>215</v>
      </c>
      <c r="C19" s="6" t="s">
        <v>216</v>
      </c>
      <c r="D19" s="6" t="s">
        <v>90</v>
      </c>
      <c r="E19" s="6">
        <v>8</v>
      </c>
      <c r="F19" s="7">
        <f t="shared" si="1"/>
        <v>54.545454545454547</v>
      </c>
      <c r="G19" s="6">
        <v>10</v>
      </c>
      <c r="H19" s="7">
        <f t="shared" si="2"/>
        <v>66.666666666666671</v>
      </c>
      <c r="I19" s="6"/>
      <c r="J19" s="7">
        <f t="shared" si="3"/>
        <v>0</v>
      </c>
      <c r="K19" s="6">
        <v>3</v>
      </c>
      <c r="L19" s="7">
        <f t="shared" si="4"/>
        <v>164.70588235294119</v>
      </c>
      <c r="M19" s="8">
        <f t="shared" si="5"/>
        <v>285.91800356506241</v>
      </c>
      <c r="N19" s="6">
        <f t="shared" si="6"/>
        <v>9</v>
      </c>
      <c r="O19" s="6">
        <f t="shared" si="7"/>
        <v>3</v>
      </c>
      <c r="P19" s="17">
        <f t="shared" si="8"/>
        <v>0.75</v>
      </c>
    </row>
    <row r="20" spans="1:16" x14ac:dyDescent="0.3">
      <c r="A20" s="5">
        <f t="shared" si="0"/>
        <v>10</v>
      </c>
      <c r="B20" s="6" t="s">
        <v>213</v>
      </c>
      <c r="C20" s="6" t="s">
        <v>194</v>
      </c>
      <c r="D20" s="6" t="s">
        <v>90</v>
      </c>
      <c r="E20" s="6">
        <v>10</v>
      </c>
      <c r="F20" s="7">
        <f t="shared" si="1"/>
        <v>18.181818181818183</v>
      </c>
      <c r="G20" s="6"/>
      <c r="H20" s="7">
        <f t="shared" si="2"/>
        <v>0</v>
      </c>
      <c r="I20" s="6">
        <v>10</v>
      </c>
      <c r="J20" s="7">
        <f t="shared" si="3"/>
        <v>75</v>
      </c>
      <c r="K20" s="6">
        <v>2</v>
      </c>
      <c r="L20" s="7">
        <f t="shared" si="4"/>
        <v>176.47058823529412</v>
      </c>
      <c r="M20" s="8">
        <f t="shared" si="5"/>
        <v>269.65240641711227</v>
      </c>
      <c r="N20" s="6">
        <f t="shared" si="6"/>
        <v>10</v>
      </c>
      <c r="O20" s="6">
        <f t="shared" si="7"/>
        <v>3</v>
      </c>
      <c r="P20" s="17">
        <f t="shared" si="8"/>
        <v>0.75</v>
      </c>
    </row>
    <row r="21" spans="1:16" x14ac:dyDescent="0.3">
      <c r="A21" s="5">
        <f t="shared" si="0"/>
        <v>11</v>
      </c>
      <c r="B21" s="6" t="s">
        <v>465</v>
      </c>
      <c r="C21" s="6" t="s">
        <v>296</v>
      </c>
      <c r="D21" s="6" t="s">
        <v>100</v>
      </c>
      <c r="E21" s="6"/>
      <c r="F21" s="7">
        <f t="shared" si="1"/>
        <v>0</v>
      </c>
      <c r="G21" s="6"/>
      <c r="H21" s="7">
        <f t="shared" si="2"/>
        <v>0</v>
      </c>
      <c r="I21" s="6">
        <v>5</v>
      </c>
      <c r="J21" s="7">
        <f t="shared" si="3"/>
        <v>137.5</v>
      </c>
      <c r="K21" s="6">
        <v>9</v>
      </c>
      <c r="L21" s="7">
        <f t="shared" si="4"/>
        <v>94.117647058823536</v>
      </c>
      <c r="M21" s="8">
        <f t="shared" si="5"/>
        <v>231.61764705882354</v>
      </c>
      <c r="N21" s="6">
        <f t="shared" si="6"/>
        <v>11</v>
      </c>
      <c r="O21" s="6">
        <f t="shared" si="7"/>
        <v>2</v>
      </c>
      <c r="P21" s="17">
        <f t="shared" si="8"/>
        <v>0.5</v>
      </c>
    </row>
    <row r="22" spans="1:16" x14ac:dyDescent="0.3">
      <c r="A22" s="5">
        <f t="shared" si="0"/>
        <v>12</v>
      </c>
      <c r="B22" s="6" t="s">
        <v>413</v>
      </c>
      <c r="C22" s="6" t="s">
        <v>414</v>
      </c>
      <c r="D22" s="6" t="s">
        <v>91</v>
      </c>
      <c r="E22" s="6"/>
      <c r="F22" s="7">
        <f t="shared" si="1"/>
        <v>0</v>
      </c>
      <c r="G22" s="6">
        <v>2</v>
      </c>
      <c r="H22" s="7">
        <f t="shared" si="2"/>
        <v>173.33333333333334</v>
      </c>
      <c r="I22" s="6"/>
      <c r="J22" s="7">
        <f t="shared" si="3"/>
        <v>0</v>
      </c>
      <c r="K22" s="6"/>
      <c r="L22" s="7">
        <f t="shared" si="4"/>
        <v>0</v>
      </c>
      <c r="M22" s="8">
        <f t="shared" si="5"/>
        <v>173.33333333333334</v>
      </c>
      <c r="N22" s="6">
        <f t="shared" si="6"/>
        <v>12</v>
      </c>
      <c r="O22" s="6">
        <f t="shared" si="7"/>
        <v>1</v>
      </c>
      <c r="P22" s="17">
        <f t="shared" si="8"/>
        <v>0.25</v>
      </c>
    </row>
    <row r="23" spans="1:16" x14ac:dyDescent="0.3">
      <c r="A23" s="5">
        <f t="shared" si="0"/>
        <v>13</v>
      </c>
      <c r="B23" s="6" t="s">
        <v>464</v>
      </c>
      <c r="C23" s="6" t="s">
        <v>147</v>
      </c>
      <c r="D23" s="6" t="s">
        <v>359</v>
      </c>
      <c r="E23" s="6"/>
      <c r="F23" s="7">
        <f t="shared" si="1"/>
        <v>0</v>
      </c>
      <c r="G23" s="6"/>
      <c r="H23" s="7">
        <f t="shared" si="2"/>
        <v>0</v>
      </c>
      <c r="I23" s="6">
        <v>3</v>
      </c>
      <c r="J23" s="7">
        <f t="shared" si="3"/>
        <v>162.5</v>
      </c>
      <c r="K23" s="6"/>
      <c r="L23" s="7">
        <f t="shared" si="4"/>
        <v>0</v>
      </c>
      <c r="M23" s="8">
        <f t="shared" si="5"/>
        <v>162.5</v>
      </c>
      <c r="N23" s="6">
        <f t="shared" si="6"/>
        <v>13</v>
      </c>
      <c r="O23" s="6">
        <f t="shared" si="7"/>
        <v>1</v>
      </c>
      <c r="P23" s="17">
        <f t="shared" si="8"/>
        <v>0.25</v>
      </c>
    </row>
    <row r="24" spans="1:16" x14ac:dyDescent="0.3">
      <c r="A24" s="5">
        <f t="shared" si="0"/>
        <v>14</v>
      </c>
      <c r="B24" s="6" t="s">
        <v>561</v>
      </c>
      <c r="C24" s="6" t="s">
        <v>369</v>
      </c>
      <c r="D24" s="6" t="s">
        <v>117</v>
      </c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>
        <v>7</v>
      </c>
      <c r="L24" s="7">
        <f t="shared" si="4"/>
        <v>117.64705882352941</v>
      </c>
      <c r="M24" s="8">
        <f t="shared" si="5"/>
        <v>117.64705882352941</v>
      </c>
      <c r="N24" s="6">
        <f t="shared" si="6"/>
        <v>14</v>
      </c>
      <c r="O24" s="6">
        <f t="shared" si="7"/>
        <v>1</v>
      </c>
      <c r="P24" s="17">
        <f t="shared" si="8"/>
        <v>0.25</v>
      </c>
    </row>
    <row r="25" spans="1:16" x14ac:dyDescent="0.3">
      <c r="A25" s="5">
        <f t="shared" si="0"/>
        <v>15</v>
      </c>
      <c r="B25" s="6" t="s">
        <v>220</v>
      </c>
      <c r="C25" s="6" t="s">
        <v>221</v>
      </c>
      <c r="D25" s="6" t="s">
        <v>90</v>
      </c>
      <c r="E25" s="6">
        <v>5</v>
      </c>
      <c r="F25" s="7">
        <f t="shared" si="1"/>
        <v>109.09090909090909</v>
      </c>
      <c r="G25" s="6"/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8">
        <f t="shared" si="5"/>
        <v>109.09090909090909</v>
      </c>
      <c r="N25" s="6">
        <f t="shared" si="6"/>
        <v>15</v>
      </c>
      <c r="O25" s="6">
        <f t="shared" si="7"/>
        <v>1</v>
      </c>
      <c r="P25" s="17">
        <f t="shared" si="8"/>
        <v>0.25</v>
      </c>
    </row>
    <row r="26" spans="1:16" x14ac:dyDescent="0.3">
      <c r="A26" s="5">
        <f t="shared" si="0"/>
        <v>16</v>
      </c>
      <c r="B26" s="6" t="s">
        <v>415</v>
      </c>
      <c r="C26" s="6" t="s">
        <v>416</v>
      </c>
      <c r="D26" s="6" t="s">
        <v>100</v>
      </c>
      <c r="E26" s="6"/>
      <c r="F26" s="7">
        <f t="shared" si="1"/>
        <v>0</v>
      </c>
      <c r="G26" s="6">
        <v>11</v>
      </c>
      <c r="H26" s="7">
        <f t="shared" si="2"/>
        <v>53.333333333333336</v>
      </c>
      <c r="I26" s="6">
        <v>14</v>
      </c>
      <c r="J26" s="7">
        <f t="shared" si="3"/>
        <v>25</v>
      </c>
      <c r="K26" s="6">
        <v>15</v>
      </c>
      <c r="L26" s="7">
        <f t="shared" si="4"/>
        <v>23.529411764705884</v>
      </c>
      <c r="M26" s="8">
        <f t="shared" si="5"/>
        <v>101.86274509803923</v>
      </c>
      <c r="N26" s="6">
        <f t="shared" si="6"/>
        <v>16</v>
      </c>
      <c r="O26" s="6">
        <f t="shared" si="7"/>
        <v>3</v>
      </c>
      <c r="P26" s="17">
        <f t="shared" si="8"/>
        <v>0.75</v>
      </c>
    </row>
    <row r="27" spans="1:16" x14ac:dyDescent="0.3">
      <c r="A27" s="5">
        <f t="shared" si="0"/>
        <v>17</v>
      </c>
      <c r="B27" s="6" t="s">
        <v>211</v>
      </c>
      <c r="C27" s="6" t="s">
        <v>212</v>
      </c>
      <c r="D27" s="6" t="s">
        <v>116</v>
      </c>
      <c r="E27" s="6">
        <v>11</v>
      </c>
      <c r="F27" s="7">
        <v>9</v>
      </c>
      <c r="G27" s="6">
        <v>13</v>
      </c>
      <c r="H27" s="7">
        <f t="shared" si="2"/>
        <v>26.666666666666668</v>
      </c>
      <c r="I27" s="6"/>
      <c r="J27" s="7">
        <f t="shared" si="3"/>
        <v>0</v>
      </c>
      <c r="K27" s="6">
        <v>13</v>
      </c>
      <c r="L27" s="7">
        <f t="shared" si="4"/>
        <v>47.058823529411768</v>
      </c>
      <c r="M27" s="8">
        <f t="shared" si="5"/>
        <v>82.725490196078439</v>
      </c>
      <c r="N27" s="6">
        <f t="shared" si="6"/>
        <v>17</v>
      </c>
      <c r="O27" s="6">
        <f t="shared" si="7"/>
        <v>3</v>
      </c>
      <c r="P27" s="17">
        <f t="shared" si="8"/>
        <v>0.75</v>
      </c>
    </row>
    <row r="28" spans="1:16" x14ac:dyDescent="0.3">
      <c r="A28" s="5">
        <f t="shared" si="0"/>
        <v>18</v>
      </c>
      <c r="B28" s="6" t="s">
        <v>419</v>
      </c>
      <c r="C28" s="6" t="s">
        <v>371</v>
      </c>
      <c r="D28" s="6" t="s">
        <v>205</v>
      </c>
      <c r="E28" s="6"/>
      <c r="F28" s="7">
        <f t="shared" ref="F28:F40" si="9">IF(E28=0,,($E$9-E28)*$E$7*100/$E$9)</f>
        <v>0</v>
      </c>
      <c r="G28" s="6">
        <v>14</v>
      </c>
      <c r="H28" s="7">
        <f t="shared" si="2"/>
        <v>13.333333333333334</v>
      </c>
      <c r="I28" s="6">
        <v>12</v>
      </c>
      <c r="J28" s="7">
        <f t="shared" si="3"/>
        <v>50</v>
      </c>
      <c r="K28" s="6"/>
      <c r="L28" s="7">
        <f t="shared" si="4"/>
        <v>0</v>
      </c>
      <c r="M28" s="8">
        <f t="shared" si="5"/>
        <v>63.333333333333336</v>
      </c>
      <c r="N28" s="6">
        <f t="shared" si="6"/>
        <v>18</v>
      </c>
      <c r="O28" s="6">
        <f t="shared" si="7"/>
        <v>2</v>
      </c>
      <c r="P28" s="17">
        <f t="shared" si="8"/>
        <v>0.5</v>
      </c>
    </row>
    <row r="29" spans="1:16" x14ac:dyDescent="0.3">
      <c r="A29" s="5">
        <f t="shared" si="0"/>
        <v>19</v>
      </c>
      <c r="B29" s="6" t="s">
        <v>562</v>
      </c>
      <c r="C29" s="6" t="s">
        <v>563</v>
      </c>
      <c r="D29" s="6" t="s">
        <v>117</v>
      </c>
      <c r="E29" s="6"/>
      <c r="F29" s="7">
        <f t="shared" si="9"/>
        <v>0</v>
      </c>
      <c r="G29" s="6"/>
      <c r="H29" s="7">
        <f t="shared" si="2"/>
        <v>0</v>
      </c>
      <c r="I29" s="6"/>
      <c r="J29" s="7">
        <f t="shared" si="3"/>
        <v>0</v>
      </c>
      <c r="K29" s="6">
        <v>12</v>
      </c>
      <c r="L29" s="7">
        <f t="shared" si="4"/>
        <v>58.823529411764703</v>
      </c>
      <c r="M29" s="8">
        <f t="shared" si="5"/>
        <v>58.823529411764703</v>
      </c>
      <c r="N29" s="6">
        <f t="shared" si="6"/>
        <v>19</v>
      </c>
      <c r="O29" s="6">
        <f t="shared" si="7"/>
        <v>1</v>
      </c>
      <c r="P29" s="17">
        <f t="shared" si="8"/>
        <v>0.25</v>
      </c>
    </row>
    <row r="30" spans="1:16" x14ac:dyDescent="0.3">
      <c r="A30" s="5">
        <f t="shared" si="0"/>
        <v>20</v>
      </c>
      <c r="B30" s="6" t="s">
        <v>467</v>
      </c>
      <c r="C30" s="6" t="s">
        <v>440</v>
      </c>
      <c r="D30" s="6" t="s">
        <v>100</v>
      </c>
      <c r="E30" s="6"/>
      <c r="F30" s="7">
        <f t="shared" si="9"/>
        <v>0</v>
      </c>
      <c r="G30" s="6"/>
      <c r="H30" s="7">
        <f t="shared" si="2"/>
        <v>0</v>
      </c>
      <c r="I30" s="6">
        <v>15</v>
      </c>
      <c r="J30" s="7">
        <f t="shared" si="3"/>
        <v>12.5</v>
      </c>
      <c r="K30" s="6">
        <v>14</v>
      </c>
      <c r="L30" s="7">
        <f t="shared" si="4"/>
        <v>35.294117647058826</v>
      </c>
      <c r="M30" s="8">
        <f t="shared" si="5"/>
        <v>47.794117647058826</v>
      </c>
      <c r="N30" s="6">
        <f t="shared" si="6"/>
        <v>20</v>
      </c>
      <c r="O30" s="6">
        <f t="shared" si="7"/>
        <v>2</v>
      </c>
      <c r="P30" s="17">
        <f t="shared" si="8"/>
        <v>0.5</v>
      </c>
    </row>
    <row r="31" spans="1:16" x14ac:dyDescent="0.3">
      <c r="A31" s="5">
        <f t="shared" si="0"/>
        <v>21</v>
      </c>
      <c r="B31" s="6" t="s">
        <v>417</v>
      </c>
      <c r="C31" s="6" t="s">
        <v>418</v>
      </c>
      <c r="D31" s="6" t="s">
        <v>91</v>
      </c>
      <c r="E31" s="6"/>
      <c r="F31" s="7">
        <f t="shared" si="9"/>
        <v>0</v>
      </c>
      <c r="G31" s="6">
        <v>12</v>
      </c>
      <c r="H31" s="7">
        <f t="shared" si="2"/>
        <v>40</v>
      </c>
      <c r="I31" s="6"/>
      <c r="J31" s="7">
        <f t="shared" si="3"/>
        <v>0</v>
      </c>
      <c r="K31" s="6"/>
      <c r="L31" s="7">
        <f t="shared" si="4"/>
        <v>0</v>
      </c>
      <c r="M31" s="8">
        <f t="shared" si="5"/>
        <v>40</v>
      </c>
      <c r="N31" s="6">
        <f t="shared" si="6"/>
        <v>21</v>
      </c>
      <c r="O31" s="6">
        <f t="shared" si="7"/>
        <v>1</v>
      </c>
      <c r="P31" s="17">
        <f t="shared" si="8"/>
        <v>0.25</v>
      </c>
    </row>
    <row r="32" spans="1:16" x14ac:dyDescent="0.3">
      <c r="A32" s="5">
        <f t="shared" si="0"/>
        <v>22</v>
      </c>
      <c r="B32" s="6" t="s">
        <v>466</v>
      </c>
      <c r="C32" s="6" t="s">
        <v>298</v>
      </c>
      <c r="D32" s="6" t="s">
        <v>205</v>
      </c>
      <c r="E32" s="6"/>
      <c r="F32" s="7">
        <f t="shared" si="9"/>
        <v>0</v>
      </c>
      <c r="G32" s="6"/>
      <c r="H32" s="7">
        <f t="shared" si="2"/>
        <v>0</v>
      </c>
      <c r="I32" s="6">
        <v>13</v>
      </c>
      <c r="J32" s="7">
        <f t="shared" si="3"/>
        <v>37.5</v>
      </c>
      <c r="K32" s="6"/>
      <c r="L32" s="7">
        <f t="shared" si="4"/>
        <v>0</v>
      </c>
      <c r="M32" s="8">
        <f t="shared" si="5"/>
        <v>37.5</v>
      </c>
      <c r="N32" s="6">
        <f t="shared" si="6"/>
        <v>22</v>
      </c>
      <c r="O32" s="6">
        <f t="shared" si="7"/>
        <v>1</v>
      </c>
      <c r="P32" s="17">
        <f t="shared" si="8"/>
        <v>0.25</v>
      </c>
    </row>
    <row r="33" spans="1:16" x14ac:dyDescent="0.3">
      <c r="A33" s="5">
        <f t="shared" si="0"/>
        <v>23</v>
      </c>
      <c r="B33" s="6" t="s">
        <v>468</v>
      </c>
      <c r="C33" s="6" t="s">
        <v>243</v>
      </c>
      <c r="D33" s="6" t="s">
        <v>117</v>
      </c>
      <c r="E33" s="6"/>
      <c r="F33" s="7">
        <f t="shared" si="9"/>
        <v>0</v>
      </c>
      <c r="G33" s="6"/>
      <c r="H33" s="7">
        <f t="shared" si="2"/>
        <v>0</v>
      </c>
      <c r="I33" s="6">
        <v>16</v>
      </c>
      <c r="J33" s="7">
        <f>13/2</f>
        <v>6.5</v>
      </c>
      <c r="K33" s="6">
        <v>16</v>
      </c>
      <c r="L33" s="7">
        <f t="shared" si="4"/>
        <v>11.764705882352942</v>
      </c>
      <c r="M33" s="8">
        <f t="shared" si="5"/>
        <v>18.264705882352942</v>
      </c>
      <c r="N33" s="6">
        <f t="shared" si="6"/>
        <v>23</v>
      </c>
      <c r="O33" s="6">
        <f t="shared" si="7"/>
        <v>2</v>
      </c>
      <c r="P33" s="17">
        <f t="shared" si="8"/>
        <v>0.5</v>
      </c>
    </row>
    <row r="34" spans="1:16" x14ac:dyDescent="0.3">
      <c r="A34" s="5">
        <f t="shared" si="0"/>
        <v>24</v>
      </c>
      <c r="B34" s="6" t="s">
        <v>420</v>
      </c>
      <c r="C34" s="6" t="s">
        <v>421</v>
      </c>
      <c r="D34" s="6"/>
      <c r="E34" s="6"/>
      <c r="F34" s="7">
        <f t="shared" si="9"/>
        <v>0</v>
      </c>
      <c r="G34" s="6">
        <v>15</v>
      </c>
      <c r="H34" s="7">
        <f>13/2</f>
        <v>6.5</v>
      </c>
      <c r="I34" s="6"/>
      <c r="J34" s="7">
        <f t="shared" ref="J34:J40" si="10">IF(I34=0,,($I$9-I34)*$I$7*100/$I$9)</f>
        <v>0</v>
      </c>
      <c r="K34" s="6"/>
      <c r="L34" s="7">
        <f t="shared" si="4"/>
        <v>0</v>
      </c>
      <c r="M34" s="8">
        <f t="shared" si="5"/>
        <v>6.5</v>
      </c>
      <c r="N34" s="6">
        <f t="shared" si="6"/>
        <v>24</v>
      </c>
      <c r="O34" s="6">
        <f t="shared" si="7"/>
        <v>1</v>
      </c>
      <c r="P34" s="17">
        <f t="shared" si="8"/>
        <v>0.25</v>
      </c>
    </row>
    <row r="35" spans="1:16" x14ac:dyDescent="0.3">
      <c r="A35" s="5">
        <f t="shared" si="0"/>
        <v>25</v>
      </c>
      <c r="B35" s="6" t="s">
        <v>564</v>
      </c>
      <c r="C35" s="6" t="s">
        <v>565</v>
      </c>
      <c r="D35" s="6" t="s">
        <v>90</v>
      </c>
      <c r="E35" s="6"/>
      <c r="F35" s="7">
        <f t="shared" si="9"/>
        <v>0</v>
      </c>
      <c r="G35" s="6"/>
      <c r="H35" s="7">
        <f t="shared" ref="H35:H40" si="11">IF(G35=0,,($G$9-G35)*$G$7*100/$G$9)</f>
        <v>0</v>
      </c>
      <c r="I35" s="6"/>
      <c r="J35" s="7">
        <f t="shared" si="10"/>
        <v>0</v>
      </c>
      <c r="K35" s="6">
        <v>17</v>
      </c>
      <c r="L35" s="7">
        <f>12/2</f>
        <v>6</v>
      </c>
      <c r="M35" s="8">
        <f t="shared" si="5"/>
        <v>6</v>
      </c>
      <c r="N35" s="6">
        <f t="shared" si="6"/>
        <v>25</v>
      </c>
      <c r="O35" s="6">
        <f t="shared" si="7"/>
        <v>1</v>
      </c>
      <c r="P35" s="17">
        <f t="shared" si="8"/>
        <v>0.25</v>
      </c>
    </row>
    <row r="36" spans="1:16" x14ac:dyDescent="0.3">
      <c r="A36" s="5">
        <f t="shared" si="0"/>
        <v>26</v>
      </c>
      <c r="B36" s="6"/>
      <c r="C36" s="6"/>
      <c r="D36" s="6"/>
      <c r="E36" s="6"/>
      <c r="F36" s="7">
        <f t="shared" si="9"/>
        <v>0</v>
      </c>
      <c r="G36" s="6"/>
      <c r="H36" s="7">
        <f t="shared" si="11"/>
        <v>0</v>
      </c>
      <c r="I36" s="6"/>
      <c r="J36" s="7">
        <f t="shared" si="10"/>
        <v>0</v>
      </c>
      <c r="K36" s="6"/>
      <c r="L36" s="7">
        <f>IF(K36=0,,($K$9-K36)*$K$7*100/$K$9)</f>
        <v>0</v>
      </c>
      <c r="M36" s="8">
        <f t="shared" si="5"/>
        <v>0</v>
      </c>
      <c r="N36" s="6">
        <f t="shared" si="6"/>
        <v>26</v>
      </c>
      <c r="O36" s="6">
        <f t="shared" si="7"/>
        <v>0</v>
      </c>
      <c r="P36" s="17">
        <f t="shared" si="8"/>
        <v>0</v>
      </c>
    </row>
    <row r="37" spans="1:16" x14ac:dyDescent="0.3">
      <c r="A37" s="5">
        <f t="shared" si="0"/>
        <v>27</v>
      </c>
      <c r="B37" s="6"/>
      <c r="C37" s="6"/>
      <c r="D37" s="6"/>
      <c r="E37" s="6"/>
      <c r="F37" s="7">
        <f t="shared" si="9"/>
        <v>0</v>
      </c>
      <c r="G37" s="6"/>
      <c r="H37" s="7">
        <f t="shared" si="11"/>
        <v>0</v>
      </c>
      <c r="I37" s="6"/>
      <c r="J37" s="7">
        <f t="shared" si="10"/>
        <v>0</v>
      </c>
      <c r="K37" s="6"/>
      <c r="L37" s="7">
        <f>IF(K37=0,,($K$9-K37)*$K$7*100/$K$9)</f>
        <v>0</v>
      </c>
      <c r="M37" s="8">
        <f t="shared" si="5"/>
        <v>0</v>
      </c>
      <c r="N37" s="6">
        <f t="shared" si="6"/>
        <v>27</v>
      </c>
      <c r="O37" s="6">
        <f t="shared" si="7"/>
        <v>0</v>
      </c>
      <c r="P37" s="17">
        <f t="shared" si="8"/>
        <v>0</v>
      </c>
    </row>
    <row r="38" spans="1:16" x14ac:dyDescent="0.3">
      <c r="A38" s="5">
        <f t="shared" si="0"/>
        <v>28</v>
      </c>
      <c r="B38" s="6"/>
      <c r="C38" s="6"/>
      <c r="D38" s="6"/>
      <c r="E38" s="6"/>
      <c r="F38" s="7">
        <f t="shared" si="9"/>
        <v>0</v>
      </c>
      <c r="G38" s="6"/>
      <c r="H38" s="7">
        <f t="shared" si="11"/>
        <v>0</v>
      </c>
      <c r="I38" s="6"/>
      <c r="J38" s="7">
        <f t="shared" si="10"/>
        <v>0</v>
      </c>
      <c r="K38" s="6"/>
      <c r="L38" s="7">
        <f>IF(K38=0,,($K$9-K38)*$K$7*100/$K$9)</f>
        <v>0</v>
      </c>
      <c r="M38" s="8">
        <f t="shared" si="5"/>
        <v>0</v>
      </c>
      <c r="N38" s="6">
        <f t="shared" si="6"/>
        <v>28</v>
      </c>
      <c r="O38" s="6">
        <f t="shared" si="7"/>
        <v>0</v>
      </c>
      <c r="P38" s="17">
        <f t="shared" si="8"/>
        <v>0</v>
      </c>
    </row>
    <row r="39" spans="1:16" x14ac:dyDescent="0.3">
      <c r="A39" s="5">
        <f t="shared" si="0"/>
        <v>29</v>
      </c>
      <c r="B39" s="6"/>
      <c r="C39" s="6"/>
      <c r="D39" s="6"/>
      <c r="E39" s="6"/>
      <c r="F39" s="7">
        <f t="shared" si="9"/>
        <v>0</v>
      </c>
      <c r="G39" s="6"/>
      <c r="H39" s="7">
        <f t="shared" si="11"/>
        <v>0</v>
      </c>
      <c r="I39" s="6"/>
      <c r="J39" s="7">
        <f t="shared" si="10"/>
        <v>0</v>
      </c>
      <c r="K39" s="6"/>
      <c r="L39" s="7">
        <f>IF(K39=0,,($K$9-K39)*$K$7*100/$K$9)</f>
        <v>0</v>
      </c>
      <c r="M39" s="8">
        <f t="shared" si="5"/>
        <v>0</v>
      </c>
      <c r="N39" s="6">
        <f t="shared" si="6"/>
        <v>29</v>
      </c>
      <c r="O39" s="6">
        <f t="shared" si="7"/>
        <v>0</v>
      </c>
      <c r="P39" s="17">
        <f t="shared" si="8"/>
        <v>0</v>
      </c>
    </row>
    <row r="40" spans="1:16" x14ac:dyDescent="0.3">
      <c r="A40" s="5">
        <f t="shared" si="0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1"/>
        <v>0</v>
      </c>
      <c r="I40" s="6"/>
      <c r="J40" s="7">
        <f t="shared" si="10"/>
        <v>0</v>
      </c>
      <c r="K40" s="6"/>
      <c r="L40" s="7">
        <f>IF(K40=0,,($K$9-K40)*$K$7*100/$K$9)</f>
        <v>0</v>
      </c>
      <c r="M40" s="8">
        <f t="shared" si="5"/>
        <v>0</v>
      </c>
      <c r="N40" s="6">
        <f t="shared" si="6"/>
        <v>30</v>
      </c>
      <c r="O40" s="6">
        <f t="shared" si="7"/>
        <v>0</v>
      </c>
      <c r="P40" s="17">
        <f t="shared" si="8"/>
        <v>0</v>
      </c>
    </row>
    <row r="41" spans="1:16" x14ac:dyDescent="0.3">
      <c r="A41" s="29" t="s">
        <v>18</v>
      </c>
      <c r="B41" s="29"/>
      <c r="C41" s="30"/>
      <c r="E41">
        <f>COUNTA(E11:E40)</f>
        <v>11</v>
      </c>
      <c r="G41">
        <f>COUNTA(G11:G40)</f>
        <v>15</v>
      </c>
      <c r="I41">
        <f>COUNTA(I11:I40)</f>
        <v>16</v>
      </c>
      <c r="K41">
        <f>COUNTA(K11:K40)</f>
        <v>17</v>
      </c>
    </row>
    <row r="42" spans="1:16" x14ac:dyDescent="0.3">
      <c r="A42" s="32" t="s">
        <v>40</v>
      </c>
      <c r="B42" s="32"/>
      <c r="C42" s="32"/>
      <c r="E42" s="16">
        <f>E41/$G$2</f>
        <v>0.44</v>
      </c>
      <c r="G42" s="16">
        <f>G41/$G$2</f>
        <v>0.6</v>
      </c>
      <c r="I42" s="16">
        <f>I41/$G$2</f>
        <v>0.64</v>
      </c>
      <c r="K42" s="16">
        <f>K41/$G$2</f>
        <v>0.68</v>
      </c>
    </row>
  </sheetData>
  <sortState xmlns:xlrd2="http://schemas.microsoft.com/office/spreadsheetml/2017/richdata2" ref="A11:P40">
    <sortCondition descending="1" ref="M11:M40"/>
  </sortState>
  <mergeCells count="21">
    <mergeCell ref="K9:L9"/>
    <mergeCell ref="A41:C41"/>
    <mergeCell ref="E2:F2"/>
    <mergeCell ref="E3:F3"/>
    <mergeCell ref="A42:C42"/>
    <mergeCell ref="E9:F9"/>
    <mergeCell ref="G9:H9"/>
    <mergeCell ref="I9:J9"/>
    <mergeCell ref="K7:L7"/>
    <mergeCell ref="E8:F8"/>
    <mergeCell ref="G8:H8"/>
    <mergeCell ref="I8:J8"/>
    <mergeCell ref="K8:L8"/>
    <mergeCell ref="E7:F7"/>
    <mergeCell ref="G7:H7"/>
    <mergeCell ref="I7:J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42"/>
  <sheetViews>
    <sheetView workbookViewId="0">
      <pane xSplit="3" ySplit="10" topLeftCell="D26" activePane="bottomRight" state="frozenSplit"/>
      <selection activeCell="D26" sqref="D26"/>
      <selection pane="topRight" activeCell="D26" sqref="D26"/>
      <selection pane="bottomLeft" activeCell="D26" sqref="D26"/>
      <selection pane="bottomRight" activeCell="G44" sqref="G44"/>
    </sheetView>
  </sheetViews>
  <sheetFormatPr baseColWidth="10" defaultRowHeight="14.4" x14ac:dyDescent="0.3"/>
  <cols>
    <col min="1" max="1" width="18.33203125" bestFit="1" customWidth="1"/>
    <col min="2" max="2" width="31.88671875" bestFit="1" customWidth="1"/>
    <col min="4" max="4" width="14.886718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2.33203125" bestFit="1" customWidth="1"/>
    <col min="16" max="16" width="19.6640625" bestFit="1" customWidth="1"/>
  </cols>
  <sheetData>
    <row r="1" spans="1:14" ht="31.2" x14ac:dyDescent="0.6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x14ac:dyDescent="0.3">
      <c r="E2" s="33" t="s">
        <v>37</v>
      </c>
      <c r="F2" s="33"/>
      <c r="G2" s="15">
        <f>COUNTA(B11:B40)</f>
        <v>25</v>
      </c>
    </row>
    <row r="3" spans="1:14" x14ac:dyDescent="0.3">
      <c r="B3" s="2"/>
      <c r="E3" s="33" t="s">
        <v>38</v>
      </c>
      <c r="F3" s="33"/>
      <c r="G3" s="15">
        <f>COUNTA(E8:J8)</f>
        <v>3</v>
      </c>
    </row>
    <row r="4" spans="1:14" x14ac:dyDescent="0.3">
      <c r="B4" s="2"/>
      <c r="C4" s="3"/>
    </row>
    <row r="6" spans="1:14" x14ac:dyDescent="0.3">
      <c r="D6" s="1" t="s">
        <v>0</v>
      </c>
      <c r="E6" s="25" t="s">
        <v>49</v>
      </c>
      <c r="F6" s="26"/>
      <c r="G6" s="28" t="s">
        <v>463</v>
      </c>
      <c r="H6" s="28"/>
      <c r="I6" s="28" t="s">
        <v>26</v>
      </c>
      <c r="J6" s="28"/>
    </row>
    <row r="7" spans="1:14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</row>
    <row r="8" spans="1:14" x14ac:dyDescent="0.3">
      <c r="D8" s="1" t="s">
        <v>1</v>
      </c>
      <c r="E8" s="34">
        <v>45263</v>
      </c>
      <c r="F8" s="35"/>
      <c r="G8" s="31">
        <v>45333</v>
      </c>
      <c r="H8" s="31"/>
      <c r="I8" s="31">
        <v>45389</v>
      </c>
      <c r="J8" s="31"/>
    </row>
    <row r="9" spans="1:14" x14ac:dyDescent="0.3">
      <c r="D9" s="1" t="s">
        <v>2</v>
      </c>
      <c r="E9" s="25">
        <v>15</v>
      </c>
      <c r="F9" s="26"/>
      <c r="G9" s="28">
        <v>16</v>
      </c>
      <c r="H9" s="28"/>
      <c r="I9" s="28">
        <v>17</v>
      </c>
      <c r="J9" s="28"/>
    </row>
    <row r="10" spans="1:1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9</v>
      </c>
      <c r="M10" s="1" t="s">
        <v>39</v>
      </c>
      <c r="N10" s="1" t="s">
        <v>41</v>
      </c>
    </row>
    <row r="11" spans="1:14" x14ac:dyDescent="0.3">
      <c r="A11" s="5">
        <f t="shared" ref="A11:A40" si="0">L11</f>
        <v>1</v>
      </c>
      <c r="B11" s="6" t="s">
        <v>224</v>
      </c>
      <c r="C11" s="6" t="s">
        <v>221</v>
      </c>
      <c r="D11" s="6" t="s">
        <v>90</v>
      </c>
      <c r="E11" s="6">
        <v>2</v>
      </c>
      <c r="F11" s="7">
        <f t="shared" ref="F11:F32" si="1">IF(E11=0,,($E$9-E11)*$E$7*100/$E$9)</f>
        <v>173.33333333333334</v>
      </c>
      <c r="G11" s="6">
        <v>1</v>
      </c>
      <c r="H11" s="7">
        <f t="shared" ref="H11:H31" si="2">IF(G11=0,,($G$9-G11)*$G$7*100/$G$9)</f>
        <v>187.5</v>
      </c>
      <c r="I11" s="6">
        <v>3</v>
      </c>
      <c r="J11" s="7">
        <f t="shared" ref="J11:J33" si="3">IF(I11=0,,($I$9-I11)*$I$7*100/$I$9)</f>
        <v>164.70588235294119</v>
      </c>
      <c r="K11" s="8">
        <f t="shared" ref="K11:K40" si="4">J11+H11+F11</f>
        <v>525.53921568627459</v>
      </c>
      <c r="L11" s="6">
        <f t="shared" ref="L11:L40" si="5">ROW(B11)-10</f>
        <v>1</v>
      </c>
      <c r="M11" s="6">
        <f>COUNTA(#REF!,E11,G11,I11)</f>
        <v>4</v>
      </c>
      <c r="N11" s="17">
        <f t="shared" ref="N11:N40" si="6">M11/$G$3</f>
        <v>1.3333333333333333</v>
      </c>
    </row>
    <row r="12" spans="1:14" x14ac:dyDescent="0.3">
      <c r="A12" s="5">
        <f t="shared" si="0"/>
        <v>2</v>
      </c>
      <c r="B12" s="6" t="s">
        <v>411</v>
      </c>
      <c r="C12" s="6" t="s">
        <v>412</v>
      </c>
      <c r="D12" s="6" t="s">
        <v>359</v>
      </c>
      <c r="E12" s="6">
        <v>1</v>
      </c>
      <c r="F12" s="7">
        <f t="shared" si="1"/>
        <v>186.66666666666666</v>
      </c>
      <c r="G12" s="6">
        <v>6</v>
      </c>
      <c r="H12" s="7">
        <f t="shared" si="2"/>
        <v>125</v>
      </c>
      <c r="I12" s="6">
        <v>5</v>
      </c>
      <c r="J12" s="7">
        <f t="shared" si="3"/>
        <v>141.1764705882353</v>
      </c>
      <c r="K12" s="8">
        <f t="shared" si="4"/>
        <v>452.84313725490199</v>
      </c>
      <c r="L12" s="6">
        <f t="shared" si="5"/>
        <v>2</v>
      </c>
      <c r="M12" s="6">
        <f>COUNTA(#REF!,E12,G12,I12)</f>
        <v>4</v>
      </c>
      <c r="N12" s="17">
        <f t="shared" si="6"/>
        <v>1.3333333333333333</v>
      </c>
    </row>
    <row r="13" spans="1:14" x14ac:dyDescent="0.3">
      <c r="A13" s="5">
        <f t="shared" si="0"/>
        <v>3</v>
      </c>
      <c r="B13" s="6" t="s">
        <v>174</v>
      </c>
      <c r="C13" s="6" t="s">
        <v>214</v>
      </c>
      <c r="D13" s="6" t="s">
        <v>108</v>
      </c>
      <c r="E13" s="6">
        <v>6</v>
      </c>
      <c r="F13" s="7">
        <f t="shared" si="1"/>
        <v>120</v>
      </c>
      <c r="G13" s="6">
        <v>3</v>
      </c>
      <c r="H13" s="7">
        <f t="shared" si="2"/>
        <v>162.5</v>
      </c>
      <c r="I13" s="6">
        <v>6</v>
      </c>
      <c r="J13" s="7">
        <f t="shared" si="3"/>
        <v>129.41176470588235</v>
      </c>
      <c r="K13" s="8">
        <f t="shared" si="4"/>
        <v>411.91176470588232</v>
      </c>
      <c r="L13" s="6">
        <f t="shared" si="5"/>
        <v>3</v>
      </c>
      <c r="M13" s="6">
        <f>COUNTA(#REF!,E13,G13,I13)</f>
        <v>4</v>
      </c>
      <c r="N13" s="17">
        <f t="shared" si="6"/>
        <v>1.3333333333333333</v>
      </c>
    </row>
    <row r="14" spans="1:14" x14ac:dyDescent="0.3">
      <c r="A14" s="5">
        <f t="shared" si="0"/>
        <v>4</v>
      </c>
      <c r="B14" s="6" t="s">
        <v>235</v>
      </c>
      <c r="C14" s="6" t="s">
        <v>196</v>
      </c>
      <c r="D14" s="6" t="s">
        <v>90</v>
      </c>
      <c r="E14" s="6">
        <v>9</v>
      </c>
      <c r="F14" s="7">
        <f t="shared" si="1"/>
        <v>80</v>
      </c>
      <c r="G14" s="6">
        <v>7</v>
      </c>
      <c r="H14" s="7">
        <f t="shared" si="2"/>
        <v>112.5</v>
      </c>
      <c r="I14" s="6">
        <v>1</v>
      </c>
      <c r="J14" s="7">
        <f t="shared" si="3"/>
        <v>188.23529411764707</v>
      </c>
      <c r="K14" s="8">
        <f t="shared" si="4"/>
        <v>380.73529411764707</v>
      </c>
      <c r="L14" s="6">
        <f t="shared" si="5"/>
        <v>4</v>
      </c>
      <c r="M14" s="6">
        <f>COUNTA(#REF!,E14,G14,I14)</f>
        <v>4</v>
      </c>
      <c r="N14" s="17">
        <f t="shared" si="6"/>
        <v>1.3333333333333333</v>
      </c>
    </row>
    <row r="15" spans="1:14" x14ac:dyDescent="0.3">
      <c r="A15" s="5">
        <f t="shared" si="0"/>
        <v>5</v>
      </c>
      <c r="B15" s="6" t="s">
        <v>218</v>
      </c>
      <c r="C15" s="6" t="s">
        <v>219</v>
      </c>
      <c r="D15" s="6" t="s">
        <v>90</v>
      </c>
      <c r="E15" s="6">
        <v>3</v>
      </c>
      <c r="F15" s="7">
        <f t="shared" si="1"/>
        <v>160</v>
      </c>
      <c r="G15" s="6">
        <v>8</v>
      </c>
      <c r="H15" s="7">
        <f t="shared" si="2"/>
        <v>100</v>
      </c>
      <c r="I15" s="6">
        <v>10</v>
      </c>
      <c r="J15" s="7">
        <f t="shared" si="3"/>
        <v>82.352941176470594</v>
      </c>
      <c r="K15" s="8">
        <f t="shared" si="4"/>
        <v>342.35294117647061</v>
      </c>
      <c r="L15" s="6">
        <f t="shared" si="5"/>
        <v>5</v>
      </c>
      <c r="M15" s="6">
        <f>COUNTA(#REF!,E15,G15,I15)</f>
        <v>4</v>
      </c>
      <c r="N15" s="17">
        <f t="shared" si="6"/>
        <v>1.3333333333333333</v>
      </c>
    </row>
    <row r="16" spans="1:14" x14ac:dyDescent="0.3">
      <c r="A16" s="5">
        <f t="shared" si="0"/>
        <v>6</v>
      </c>
      <c r="B16" s="6" t="s">
        <v>222</v>
      </c>
      <c r="C16" s="6" t="s">
        <v>223</v>
      </c>
      <c r="D16" s="6" t="s">
        <v>90</v>
      </c>
      <c r="E16" s="6">
        <v>8</v>
      </c>
      <c r="F16" s="7">
        <f t="shared" si="1"/>
        <v>93.333333333333329</v>
      </c>
      <c r="G16" s="6">
        <v>2</v>
      </c>
      <c r="H16" s="7">
        <f t="shared" si="2"/>
        <v>175</v>
      </c>
      <c r="I16" s="6">
        <v>11</v>
      </c>
      <c r="J16" s="7">
        <f t="shared" si="3"/>
        <v>70.588235294117652</v>
      </c>
      <c r="K16" s="8">
        <f t="shared" si="4"/>
        <v>338.92156862745099</v>
      </c>
      <c r="L16" s="6">
        <f t="shared" si="5"/>
        <v>6</v>
      </c>
      <c r="M16" s="6">
        <f>COUNTA(#REF!,E16,G16,I16)</f>
        <v>4</v>
      </c>
      <c r="N16" s="17">
        <f t="shared" si="6"/>
        <v>1.3333333333333333</v>
      </c>
    </row>
    <row r="17" spans="1:14" x14ac:dyDescent="0.3">
      <c r="A17" s="5">
        <f t="shared" si="0"/>
        <v>7</v>
      </c>
      <c r="B17" s="6" t="s">
        <v>162</v>
      </c>
      <c r="C17" s="6" t="s">
        <v>217</v>
      </c>
      <c r="D17" s="6" t="s">
        <v>100</v>
      </c>
      <c r="E17" s="6">
        <v>7</v>
      </c>
      <c r="F17" s="7">
        <f t="shared" si="1"/>
        <v>106.66666666666667</v>
      </c>
      <c r="G17" s="6">
        <v>9</v>
      </c>
      <c r="H17" s="7">
        <f t="shared" si="2"/>
        <v>87.5</v>
      </c>
      <c r="I17" s="6">
        <v>8</v>
      </c>
      <c r="J17" s="7">
        <f t="shared" si="3"/>
        <v>105.88235294117646</v>
      </c>
      <c r="K17" s="8">
        <f t="shared" si="4"/>
        <v>300.04901960784315</v>
      </c>
      <c r="L17" s="6">
        <f t="shared" si="5"/>
        <v>7</v>
      </c>
      <c r="M17" s="6">
        <f>COUNTA(#REF!,E17,G17,I17)</f>
        <v>4</v>
      </c>
      <c r="N17" s="17">
        <f t="shared" si="6"/>
        <v>1.3333333333333333</v>
      </c>
    </row>
    <row r="18" spans="1:14" x14ac:dyDescent="0.3">
      <c r="A18" s="5">
        <f t="shared" si="0"/>
        <v>8</v>
      </c>
      <c r="B18" s="6" t="s">
        <v>213</v>
      </c>
      <c r="C18" s="6" t="s">
        <v>194</v>
      </c>
      <c r="D18" s="6" t="s">
        <v>90</v>
      </c>
      <c r="E18" s="6"/>
      <c r="F18" s="7">
        <f t="shared" si="1"/>
        <v>0</v>
      </c>
      <c r="G18" s="6">
        <v>10</v>
      </c>
      <c r="H18" s="7">
        <f t="shared" si="2"/>
        <v>75</v>
      </c>
      <c r="I18" s="6">
        <v>2</v>
      </c>
      <c r="J18" s="7">
        <f t="shared" si="3"/>
        <v>176.47058823529412</v>
      </c>
      <c r="K18" s="8">
        <f t="shared" si="4"/>
        <v>251.47058823529412</v>
      </c>
      <c r="L18" s="6">
        <f t="shared" si="5"/>
        <v>8</v>
      </c>
      <c r="M18" s="6">
        <f>COUNTA(#REF!,E18,G18,I18)</f>
        <v>3</v>
      </c>
      <c r="N18" s="17">
        <f t="shared" si="6"/>
        <v>1</v>
      </c>
    </row>
    <row r="19" spans="1:14" x14ac:dyDescent="0.3">
      <c r="A19" s="5">
        <f t="shared" si="0"/>
        <v>9</v>
      </c>
      <c r="B19" s="6" t="s">
        <v>465</v>
      </c>
      <c r="C19" s="6" t="s">
        <v>296</v>
      </c>
      <c r="D19" s="6" t="s">
        <v>100</v>
      </c>
      <c r="E19" s="6"/>
      <c r="F19" s="7">
        <f t="shared" si="1"/>
        <v>0</v>
      </c>
      <c r="G19" s="6">
        <v>5</v>
      </c>
      <c r="H19" s="7">
        <f t="shared" si="2"/>
        <v>137.5</v>
      </c>
      <c r="I19" s="6">
        <v>9</v>
      </c>
      <c r="J19" s="7">
        <f t="shared" si="3"/>
        <v>94.117647058823536</v>
      </c>
      <c r="K19" s="8">
        <f t="shared" si="4"/>
        <v>231.61764705882354</v>
      </c>
      <c r="L19" s="6">
        <f t="shared" si="5"/>
        <v>9</v>
      </c>
      <c r="M19" s="6">
        <f>COUNTA(#REF!,E19,G19,I19)</f>
        <v>3</v>
      </c>
      <c r="N19" s="17">
        <f t="shared" si="6"/>
        <v>1</v>
      </c>
    </row>
    <row r="20" spans="1:14" x14ac:dyDescent="0.3">
      <c r="A20" s="5">
        <f t="shared" si="0"/>
        <v>10</v>
      </c>
      <c r="B20" s="6" t="s">
        <v>215</v>
      </c>
      <c r="C20" s="6" t="s">
        <v>216</v>
      </c>
      <c r="D20" s="6" t="s">
        <v>90</v>
      </c>
      <c r="E20" s="6">
        <v>10</v>
      </c>
      <c r="F20" s="7">
        <f t="shared" si="1"/>
        <v>66.666666666666671</v>
      </c>
      <c r="G20" s="6"/>
      <c r="H20" s="7">
        <f t="shared" si="2"/>
        <v>0</v>
      </c>
      <c r="I20" s="6">
        <v>3</v>
      </c>
      <c r="J20" s="7">
        <f t="shared" si="3"/>
        <v>164.70588235294119</v>
      </c>
      <c r="K20" s="8">
        <f t="shared" si="4"/>
        <v>231.37254901960785</v>
      </c>
      <c r="L20" s="6">
        <f t="shared" si="5"/>
        <v>10</v>
      </c>
      <c r="M20" s="6">
        <f>COUNTA(#REF!,E20,G20,I20)</f>
        <v>3</v>
      </c>
      <c r="N20" s="17">
        <f t="shared" si="6"/>
        <v>1</v>
      </c>
    </row>
    <row r="21" spans="1:14" x14ac:dyDescent="0.3">
      <c r="A21" s="5">
        <f t="shared" si="0"/>
        <v>11</v>
      </c>
      <c r="B21" s="6" t="s">
        <v>225</v>
      </c>
      <c r="C21" s="6" t="s">
        <v>226</v>
      </c>
      <c r="D21" s="6" t="s">
        <v>143</v>
      </c>
      <c r="E21" s="6">
        <v>5</v>
      </c>
      <c r="F21" s="7">
        <f t="shared" si="1"/>
        <v>133.33333333333334</v>
      </c>
      <c r="G21" s="6">
        <v>11</v>
      </c>
      <c r="H21" s="7">
        <f t="shared" si="2"/>
        <v>62.5</v>
      </c>
      <c r="I21" s="6"/>
      <c r="J21" s="7">
        <f t="shared" si="3"/>
        <v>0</v>
      </c>
      <c r="K21" s="8">
        <f t="shared" si="4"/>
        <v>195.83333333333334</v>
      </c>
      <c r="L21" s="6">
        <f t="shared" si="5"/>
        <v>11</v>
      </c>
      <c r="M21" s="6">
        <f>COUNTA(#REF!,E21,G21,I21)</f>
        <v>3</v>
      </c>
      <c r="N21" s="17">
        <f t="shared" si="6"/>
        <v>1</v>
      </c>
    </row>
    <row r="22" spans="1:14" x14ac:dyDescent="0.3">
      <c r="A22" s="5">
        <f t="shared" si="0"/>
        <v>12</v>
      </c>
      <c r="B22" s="6" t="s">
        <v>413</v>
      </c>
      <c r="C22" s="6" t="s">
        <v>414</v>
      </c>
      <c r="D22" s="6" t="s">
        <v>91</v>
      </c>
      <c r="E22" s="6">
        <v>2</v>
      </c>
      <c r="F22" s="7">
        <f t="shared" si="1"/>
        <v>173.33333333333334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173.33333333333334</v>
      </c>
      <c r="L22" s="6">
        <f t="shared" si="5"/>
        <v>12</v>
      </c>
      <c r="M22" s="6">
        <f>COUNTA(#REF!,E22,G22,I22)</f>
        <v>2</v>
      </c>
      <c r="N22" s="17">
        <f t="shared" si="6"/>
        <v>0.66666666666666663</v>
      </c>
    </row>
    <row r="23" spans="1:14" x14ac:dyDescent="0.3">
      <c r="A23" s="5">
        <f t="shared" si="0"/>
        <v>13</v>
      </c>
      <c r="B23" s="6" t="s">
        <v>464</v>
      </c>
      <c r="C23" s="6" t="s">
        <v>147</v>
      </c>
      <c r="D23" s="6" t="s">
        <v>359</v>
      </c>
      <c r="E23" s="6"/>
      <c r="F23" s="7">
        <f t="shared" si="1"/>
        <v>0</v>
      </c>
      <c r="G23" s="6">
        <v>3</v>
      </c>
      <c r="H23" s="7">
        <f t="shared" si="2"/>
        <v>162.5</v>
      </c>
      <c r="I23" s="6"/>
      <c r="J23" s="7">
        <f t="shared" si="3"/>
        <v>0</v>
      </c>
      <c r="K23" s="8">
        <f t="shared" si="4"/>
        <v>162.5</v>
      </c>
      <c r="L23" s="6">
        <f t="shared" si="5"/>
        <v>13</v>
      </c>
      <c r="M23" s="6">
        <f>COUNTA(#REF!,E23,G23,I23)</f>
        <v>2</v>
      </c>
      <c r="N23" s="17">
        <f t="shared" si="6"/>
        <v>0.66666666666666663</v>
      </c>
    </row>
    <row r="24" spans="1:14" x14ac:dyDescent="0.3">
      <c r="A24" s="5">
        <f t="shared" si="0"/>
        <v>14</v>
      </c>
      <c r="B24" s="6" t="s">
        <v>561</v>
      </c>
      <c r="C24" s="6" t="s">
        <v>369</v>
      </c>
      <c r="D24" s="6" t="s">
        <v>117</v>
      </c>
      <c r="E24" s="6"/>
      <c r="F24" s="7">
        <f t="shared" si="1"/>
        <v>0</v>
      </c>
      <c r="G24" s="6"/>
      <c r="H24" s="7">
        <f t="shared" si="2"/>
        <v>0</v>
      </c>
      <c r="I24" s="6">
        <v>7</v>
      </c>
      <c r="J24" s="7">
        <f t="shared" si="3"/>
        <v>117.64705882352941</v>
      </c>
      <c r="K24" s="8">
        <f t="shared" si="4"/>
        <v>117.64705882352941</v>
      </c>
      <c r="L24" s="6">
        <f t="shared" si="5"/>
        <v>14</v>
      </c>
      <c r="M24" s="6">
        <f>COUNTA(#REF!,E24,G24,I24)</f>
        <v>2</v>
      </c>
      <c r="N24" s="17">
        <f t="shared" si="6"/>
        <v>0.66666666666666663</v>
      </c>
    </row>
    <row r="25" spans="1:14" x14ac:dyDescent="0.3">
      <c r="A25" s="5">
        <f t="shared" si="0"/>
        <v>15</v>
      </c>
      <c r="B25" s="6" t="s">
        <v>415</v>
      </c>
      <c r="C25" s="6" t="s">
        <v>416</v>
      </c>
      <c r="D25" s="6" t="s">
        <v>100</v>
      </c>
      <c r="E25" s="6">
        <v>11</v>
      </c>
      <c r="F25" s="7">
        <f t="shared" si="1"/>
        <v>53.333333333333336</v>
      </c>
      <c r="G25" s="6">
        <v>14</v>
      </c>
      <c r="H25" s="7">
        <f t="shared" si="2"/>
        <v>25</v>
      </c>
      <c r="I25" s="6">
        <v>15</v>
      </c>
      <c r="J25" s="7">
        <f t="shared" si="3"/>
        <v>23.529411764705884</v>
      </c>
      <c r="K25" s="8">
        <f t="shared" si="4"/>
        <v>101.86274509803923</v>
      </c>
      <c r="L25" s="6">
        <f t="shared" si="5"/>
        <v>15</v>
      </c>
      <c r="M25" s="6">
        <f>COUNTA(#REF!,E25,G25,I25)</f>
        <v>4</v>
      </c>
      <c r="N25" s="17">
        <f t="shared" si="6"/>
        <v>1.3333333333333333</v>
      </c>
    </row>
    <row r="26" spans="1:14" x14ac:dyDescent="0.3">
      <c r="A26" s="5">
        <f t="shared" si="0"/>
        <v>16</v>
      </c>
      <c r="B26" s="6" t="s">
        <v>211</v>
      </c>
      <c r="C26" s="6" t="s">
        <v>212</v>
      </c>
      <c r="D26" s="6" t="s">
        <v>116</v>
      </c>
      <c r="E26" s="6">
        <v>13</v>
      </c>
      <c r="F26" s="7">
        <f t="shared" si="1"/>
        <v>26.666666666666668</v>
      </c>
      <c r="G26" s="6"/>
      <c r="H26" s="7">
        <f t="shared" si="2"/>
        <v>0</v>
      </c>
      <c r="I26" s="6">
        <v>13</v>
      </c>
      <c r="J26" s="7">
        <f t="shared" si="3"/>
        <v>47.058823529411768</v>
      </c>
      <c r="K26" s="8">
        <f t="shared" si="4"/>
        <v>73.725490196078439</v>
      </c>
      <c r="L26" s="6">
        <f t="shared" si="5"/>
        <v>16</v>
      </c>
      <c r="M26" s="6">
        <f>COUNTA(#REF!,E26,G26,I26)</f>
        <v>3</v>
      </c>
      <c r="N26" s="17">
        <f t="shared" si="6"/>
        <v>1</v>
      </c>
    </row>
    <row r="27" spans="1:14" x14ac:dyDescent="0.3">
      <c r="A27" s="5">
        <f t="shared" si="0"/>
        <v>17</v>
      </c>
      <c r="B27" s="6" t="s">
        <v>419</v>
      </c>
      <c r="C27" s="6" t="s">
        <v>371</v>
      </c>
      <c r="D27" s="6" t="s">
        <v>205</v>
      </c>
      <c r="E27" s="6">
        <v>14</v>
      </c>
      <c r="F27" s="7">
        <f t="shared" si="1"/>
        <v>13.333333333333334</v>
      </c>
      <c r="G27" s="6">
        <v>12</v>
      </c>
      <c r="H27" s="7">
        <f t="shared" si="2"/>
        <v>50</v>
      </c>
      <c r="I27" s="6"/>
      <c r="J27" s="7">
        <f t="shared" si="3"/>
        <v>0</v>
      </c>
      <c r="K27" s="8">
        <f t="shared" si="4"/>
        <v>63.333333333333336</v>
      </c>
      <c r="L27" s="6">
        <f t="shared" si="5"/>
        <v>17</v>
      </c>
      <c r="M27" s="6">
        <f>COUNTA(#REF!,E27,G27,I27)</f>
        <v>3</v>
      </c>
      <c r="N27" s="17">
        <f t="shared" si="6"/>
        <v>1</v>
      </c>
    </row>
    <row r="28" spans="1:14" x14ac:dyDescent="0.3">
      <c r="A28" s="5">
        <f t="shared" si="0"/>
        <v>18</v>
      </c>
      <c r="B28" s="6" t="s">
        <v>562</v>
      </c>
      <c r="C28" s="6" t="s">
        <v>563</v>
      </c>
      <c r="D28" s="6" t="s">
        <v>117</v>
      </c>
      <c r="E28" s="6"/>
      <c r="F28" s="7">
        <f t="shared" si="1"/>
        <v>0</v>
      </c>
      <c r="G28" s="6"/>
      <c r="H28" s="7">
        <f t="shared" si="2"/>
        <v>0</v>
      </c>
      <c r="I28" s="6">
        <v>12</v>
      </c>
      <c r="J28" s="7">
        <f t="shared" si="3"/>
        <v>58.823529411764703</v>
      </c>
      <c r="K28" s="8">
        <f t="shared" si="4"/>
        <v>58.823529411764703</v>
      </c>
      <c r="L28" s="6">
        <f t="shared" si="5"/>
        <v>18</v>
      </c>
      <c r="M28" s="6">
        <f>COUNTA(#REF!,E28,G28,I28)</f>
        <v>2</v>
      </c>
      <c r="N28" s="17">
        <f t="shared" si="6"/>
        <v>0.66666666666666663</v>
      </c>
    </row>
    <row r="29" spans="1:14" x14ac:dyDescent="0.3">
      <c r="A29" s="5">
        <f t="shared" si="0"/>
        <v>19</v>
      </c>
      <c r="B29" s="6" t="s">
        <v>467</v>
      </c>
      <c r="C29" s="6" t="s">
        <v>440</v>
      </c>
      <c r="D29" s="6" t="s">
        <v>100</v>
      </c>
      <c r="E29" s="6"/>
      <c r="F29" s="7">
        <f t="shared" si="1"/>
        <v>0</v>
      </c>
      <c r="G29" s="6">
        <v>15</v>
      </c>
      <c r="H29" s="7">
        <f t="shared" si="2"/>
        <v>12.5</v>
      </c>
      <c r="I29" s="6">
        <v>14</v>
      </c>
      <c r="J29" s="7">
        <f t="shared" si="3"/>
        <v>35.294117647058826</v>
      </c>
      <c r="K29" s="8">
        <f t="shared" si="4"/>
        <v>47.794117647058826</v>
      </c>
      <c r="L29" s="6">
        <f t="shared" si="5"/>
        <v>19</v>
      </c>
      <c r="M29" s="6">
        <f>COUNTA(#REF!,E29,G29,I29)</f>
        <v>3</v>
      </c>
      <c r="N29" s="17">
        <f t="shared" si="6"/>
        <v>1</v>
      </c>
    </row>
    <row r="30" spans="1:14" x14ac:dyDescent="0.3">
      <c r="A30" s="5">
        <f t="shared" si="0"/>
        <v>20</v>
      </c>
      <c r="B30" s="6" t="s">
        <v>417</v>
      </c>
      <c r="C30" s="6" t="s">
        <v>418</v>
      </c>
      <c r="D30" s="6" t="s">
        <v>91</v>
      </c>
      <c r="E30" s="6">
        <v>12</v>
      </c>
      <c r="F30" s="7">
        <f t="shared" si="1"/>
        <v>40</v>
      </c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40</v>
      </c>
      <c r="L30" s="6">
        <f t="shared" si="5"/>
        <v>20</v>
      </c>
      <c r="M30" s="6">
        <f>COUNTA(#REF!,E30,G30,I30)</f>
        <v>2</v>
      </c>
      <c r="N30" s="17">
        <f t="shared" si="6"/>
        <v>0.66666666666666663</v>
      </c>
    </row>
    <row r="31" spans="1:14" x14ac:dyDescent="0.3">
      <c r="A31" s="5">
        <f t="shared" si="0"/>
        <v>21</v>
      </c>
      <c r="B31" s="6" t="s">
        <v>466</v>
      </c>
      <c r="C31" s="6" t="s">
        <v>298</v>
      </c>
      <c r="D31" s="6" t="s">
        <v>205</v>
      </c>
      <c r="E31" s="6"/>
      <c r="F31" s="7">
        <f t="shared" si="1"/>
        <v>0</v>
      </c>
      <c r="G31" s="6">
        <v>13</v>
      </c>
      <c r="H31" s="7">
        <f t="shared" si="2"/>
        <v>37.5</v>
      </c>
      <c r="I31" s="6"/>
      <c r="J31" s="7">
        <f t="shared" si="3"/>
        <v>0</v>
      </c>
      <c r="K31" s="8">
        <f t="shared" si="4"/>
        <v>37.5</v>
      </c>
      <c r="L31" s="6">
        <f t="shared" si="5"/>
        <v>21</v>
      </c>
      <c r="M31" s="6">
        <f>COUNTA(#REF!,E31,G31,I31)</f>
        <v>2</v>
      </c>
      <c r="N31" s="17">
        <f t="shared" si="6"/>
        <v>0.66666666666666663</v>
      </c>
    </row>
    <row r="32" spans="1:14" x14ac:dyDescent="0.3">
      <c r="A32" s="5">
        <f t="shared" si="0"/>
        <v>22</v>
      </c>
      <c r="B32" s="6" t="s">
        <v>468</v>
      </c>
      <c r="C32" s="6" t="s">
        <v>243</v>
      </c>
      <c r="D32" s="6" t="s">
        <v>117</v>
      </c>
      <c r="E32" s="6"/>
      <c r="F32" s="7">
        <f t="shared" si="1"/>
        <v>0</v>
      </c>
      <c r="G32" s="6">
        <v>16</v>
      </c>
      <c r="H32" s="7">
        <f>13/2</f>
        <v>6.5</v>
      </c>
      <c r="I32" s="6">
        <v>16</v>
      </c>
      <c r="J32" s="7">
        <f t="shared" si="3"/>
        <v>11.764705882352942</v>
      </c>
      <c r="K32" s="8">
        <f t="shared" si="4"/>
        <v>18.264705882352942</v>
      </c>
      <c r="L32" s="6">
        <f t="shared" si="5"/>
        <v>22</v>
      </c>
      <c r="M32" s="6">
        <f>COUNTA(#REF!,E32,G32,I32)</f>
        <v>3</v>
      </c>
      <c r="N32" s="17">
        <f t="shared" si="6"/>
        <v>1</v>
      </c>
    </row>
    <row r="33" spans="1:14" x14ac:dyDescent="0.3">
      <c r="A33" s="5">
        <f t="shared" si="0"/>
        <v>23</v>
      </c>
      <c r="B33" s="6" t="s">
        <v>420</v>
      </c>
      <c r="C33" s="6" t="s">
        <v>421</v>
      </c>
      <c r="D33" s="6"/>
      <c r="E33" s="6">
        <v>15</v>
      </c>
      <c r="F33" s="7">
        <f>13/2</f>
        <v>6.5</v>
      </c>
      <c r="G33" s="6"/>
      <c r="H33" s="7">
        <f t="shared" ref="H33:H40" si="7">IF(G33=0,,($G$9-G33)*$G$7*100/$G$9)</f>
        <v>0</v>
      </c>
      <c r="I33" s="6"/>
      <c r="J33" s="7">
        <f t="shared" si="3"/>
        <v>0</v>
      </c>
      <c r="K33" s="8">
        <f t="shared" si="4"/>
        <v>6.5</v>
      </c>
      <c r="L33" s="6">
        <f t="shared" si="5"/>
        <v>23</v>
      </c>
      <c r="M33" s="6">
        <f>COUNTA(#REF!,E33,G33,I33)</f>
        <v>2</v>
      </c>
      <c r="N33" s="17">
        <f t="shared" si="6"/>
        <v>0.66666666666666663</v>
      </c>
    </row>
    <row r="34" spans="1:14" x14ac:dyDescent="0.3">
      <c r="A34" s="5">
        <f t="shared" si="0"/>
        <v>24</v>
      </c>
      <c r="B34" s="6" t="s">
        <v>564</v>
      </c>
      <c r="C34" s="6" t="s">
        <v>565</v>
      </c>
      <c r="D34" s="6" t="s">
        <v>90</v>
      </c>
      <c r="E34" s="6"/>
      <c r="F34" s="7">
        <f t="shared" ref="F34:F40" si="8">IF(E34=0,,($E$9-E34)*$E$7*100/$E$9)</f>
        <v>0</v>
      </c>
      <c r="G34" s="6"/>
      <c r="H34" s="7">
        <f t="shared" si="7"/>
        <v>0</v>
      </c>
      <c r="I34" s="6">
        <v>17</v>
      </c>
      <c r="J34" s="7">
        <f>12/2</f>
        <v>6</v>
      </c>
      <c r="K34" s="8">
        <f t="shared" si="4"/>
        <v>6</v>
      </c>
      <c r="L34" s="6">
        <f t="shared" si="5"/>
        <v>24</v>
      </c>
      <c r="M34" s="6">
        <f>COUNTA(#REF!,E34,G34,I34)</f>
        <v>2</v>
      </c>
      <c r="N34" s="17">
        <f t="shared" si="6"/>
        <v>0.66666666666666663</v>
      </c>
    </row>
    <row r="35" spans="1:14" x14ac:dyDescent="0.3">
      <c r="A35" s="5">
        <f t="shared" si="0"/>
        <v>25</v>
      </c>
      <c r="B35" s="6" t="s">
        <v>220</v>
      </c>
      <c r="C35" s="6" t="s">
        <v>221</v>
      </c>
      <c r="D35" s="6" t="s">
        <v>90</v>
      </c>
      <c r="E35" s="6"/>
      <c r="F35" s="7">
        <f t="shared" si="8"/>
        <v>0</v>
      </c>
      <c r="G35" s="6"/>
      <c r="H35" s="7">
        <f t="shared" si="7"/>
        <v>0</v>
      </c>
      <c r="I35" s="6"/>
      <c r="J35" s="7">
        <f t="shared" ref="J35:J40" si="9">IF(I35=0,,($I$9-I35)*$I$7*100/$I$9)</f>
        <v>0</v>
      </c>
      <c r="K35" s="8">
        <f t="shared" si="4"/>
        <v>0</v>
      </c>
      <c r="L35" s="6">
        <f t="shared" si="5"/>
        <v>25</v>
      </c>
      <c r="M35" s="6">
        <f>COUNTA(#REF!,E35,G35,I35)</f>
        <v>1</v>
      </c>
      <c r="N35" s="17">
        <f t="shared" si="6"/>
        <v>0.33333333333333331</v>
      </c>
    </row>
    <row r="36" spans="1:14" x14ac:dyDescent="0.3">
      <c r="A36" s="5">
        <f t="shared" si="0"/>
        <v>26</v>
      </c>
      <c r="B36" s="6"/>
      <c r="C36" s="6"/>
      <c r="D36" s="6"/>
      <c r="E36" s="6"/>
      <c r="F36" s="7">
        <f t="shared" si="8"/>
        <v>0</v>
      </c>
      <c r="G36" s="6"/>
      <c r="H36" s="7">
        <f t="shared" si="7"/>
        <v>0</v>
      </c>
      <c r="I36" s="6"/>
      <c r="J36" s="7">
        <f t="shared" si="9"/>
        <v>0</v>
      </c>
      <c r="K36" s="8">
        <f t="shared" si="4"/>
        <v>0</v>
      </c>
      <c r="L36" s="6">
        <f t="shared" si="5"/>
        <v>26</v>
      </c>
      <c r="M36" s="6">
        <f>COUNTA(#REF!,E36,G36,I36)</f>
        <v>1</v>
      </c>
      <c r="N36" s="17">
        <f t="shared" si="6"/>
        <v>0.33333333333333331</v>
      </c>
    </row>
    <row r="37" spans="1:14" x14ac:dyDescent="0.3">
      <c r="A37" s="5">
        <f t="shared" si="0"/>
        <v>27</v>
      </c>
      <c r="B37" s="6"/>
      <c r="C37" s="6"/>
      <c r="D37" s="6"/>
      <c r="E37" s="6"/>
      <c r="F37" s="7">
        <f t="shared" si="8"/>
        <v>0</v>
      </c>
      <c r="G37" s="6"/>
      <c r="H37" s="7">
        <f t="shared" si="7"/>
        <v>0</v>
      </c>
      <c r="I37" s="6"/>
      <c r="J37" s="7">
        <f t="shared" si="9"/>
        <v>0</v>
      </c>
      <c r="K37" s="8">
        <f t="shared" si="4"/>
        <v>0</v>
      </c>
      <c r="L37" s="6">
        <f t="shared" si="5"/>
        <v>27</v>
      </c>
      <c r="M37" s="6">
        <f>COUNTA(#REF!,E37,G37,I37)</f>
        <v>1</v>
      </c>
      <c r="N37" s="17">
        <f t="shared" si="6"/>
        <v>0.33333333333333331</v>
      </c>
    </row>
    <row r="38" spans="1:14" x14ac:dyDescent="0.3">
      <c r="A38" s="5">
        <f t="shared" si="0"/>
        <v>28</v>
      </c>
      <c r="B38" s="6"/>
      <c r="C38" s="6"/>
      <c r="D38" s="6"/>
      <c r="E38" s="6"/>
      <c r="F38" s="7">
        <f t="shared" si="8"/>
        <v>0</v>
      </c>
      <c r="G38" s="6"/>
      <c r="H38" s="7">
        <f t="shared" si="7"/>
        <v>0</v>
      </c>
      <c r="I38" s="6"/>
      <c r="J38" s="7">
        <f t="shared" si="9"/>
        <v>0</v>
      </c>
      <c r="K38" s="8">
        <f t="shared" si="4"/>
        <v>0</v>
      </c>
      <c r="L38" s="6">
        <f t="shared" si="5"/>
        <v>28</v>
      </c>
      <c r="M38" s="6">
        <f>COUNTA(#REF!,E38,G38,I38)</f>
        <v>1</v>
      </c>
      <c r="N38" s="17">
        <f t="shared" si="6"/>
        <v>0.33333333333333331</v>
      </c>
    </row>
    <row r="39" spans="1:14" x14ac:dyDescent="0.3">
      <c r="A39" s="5">
        <f t="shared" si="0"/>
        <v>29</v>
      </c>
      <c r="B39" s="6"/>
      <c r="C39" s="6"/>
      <c r="D39" s="6"/>
      <c r="E39" s="6"/>
      <c r="F39" s="7">
        <f t="shared" si="8"/>
        <v>0</v>
      </c>
      <c r="G39" s="6"/>
      <c r="H39" s="7">
        <f t="shared" si="7"/>
        <v>0</v>
      </c>
      <c r="I39" s="6"/>
      <c r="J39" s="7">
        <f t="shared" si="9"/>
        <v>0</v>
      </c>
      <c r="K39" s="8">
        <f t="shared" si="4"/>
        <v>0</v>
      </c>
      <c r="L39" s="6">
        <f t="shared" si="5"/>
        <v>29</v>
      </c>
      <c r="M39" s="6">
        <f>COUNTA(#REF!,E39,G39,I39)</f>
        <v>1</v>
      </c>
      <c r="N39" s="17">
        <f t="shared" si="6"/>
        <v>0.33333333333333331</v>
      </c>
    </row>
    <row r="40" spans="1:14" x14ac:dyDescent="0.3">
      <c r="A40" s="5">
        <f t="shared" si="0"/>
        <v>30</v>
      </c>
      <c r="B40" s="6"/>
      <c r="C40" s="6"/>
      <c r="D40" s="6"/>
      <c r="E40" s="6"/>
      <c r="F40" s="7">
        <f t="shared" si="8"/>
        <v>0</v>
      </c>
      <c r="G40" s="6"/>
      <c r="H40" s="7">
        <f t="shared" si="7"/>
        <v>0</v>
      </c>
      <c r="I40" s="6"/>
      <c r="J40" s="7">
        <f t="shared" si="9"/>
        <v>0</v>
      </c>
      <c r="K40" s="8">
        <f t="shared" si="4"/>
        <v>0</v>
      </c>
      <c r="L40" s="6">
        <f t="shared" si="5"/>
        <v>30</v>
      </c>
      <c r="M40" s="6">
        <f>COUNTA(#REF!,E40,G40,I40)</f>
        <v>1</v>
      </c>
      <c r="N40" s="17">
        <f t="shared" si="6"/>
        <v>0.33333333333333331</v>
      </c>
    </row>
    <row r="41" spans="1:14" x14ac:dyDescent="0.3">
      <c r="A41" s="29" t="s">
        <v>18</v>
      </c>
      <c r="B41" s="29"/>
      <c r="C41" s="30"/>
      <c r="E41">
        <f>COUNTA(E11:E40)</f>
        <v>15</v>
      </c>
      <c r="G41">
        <f>COUNTA(G11:G40)</f>
        <v>16</v>
      </c>
      <c r="I41">
        <f>COUNTA(I11:I40)</f>
        <v>17</v>
      </c>
    </row>
    <row r="42" spans="1:14" x14ac:dyDescent="0.3">
      <c r="A42" s="32" t="s">
        <v>40</v>
      </c>
      <c r="B42" s="32"/>
      <c r="C42" s="32"/>
      <c r="E42" s="16">
        <f>E41/$G$2</f>
        <v>0.6</v>
      </c>
      <c r="G42" s="16">
        <f>G41/$G$2</f>
        <v>0.64</v>
      </c>
      <c r="I42" s="16">
        <f>I41/$G$2</f>
        <v>0.68</v>
      </c>
      <c r="K42" s="16"/>
    </row>
  </sheetData>
  <sortState xmlns:xlrd2="http://schemas.microsoft.com/office/spreadsheetml/2017/richdata2" ref="A11:N40">
    <sortCondition descending="1" ref="K11:K40"/>
  </sortState>
  <mergeCells count="17">
    <mergeCell ref="A1:M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A41:C41"/>
    <mergeCell ref="A42:C42"/>
  </mergeCells>
  <pageMargins left="0.25" right="0.25" top="0.75" bottom="0.75" header="0.3" footer="0.3"/>
  <pageSetup paperSize="9" scale="69" fitToHeight="0"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H33" sqref="H33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886718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.2" x14ac:dyDescent="0.6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x14ac:dyDescent="0.3">
      <c r="E2" s="33" t="s">
        <v>36</v>
      </c>
      <c r="F2" s="33"/>
      <c r="G2" s="15">
        <f>COUNTA(B11:B23)</f>
        <v>7</v>
      </c>
    </row>
    <row r="3" spans="1:16" x14ac:dyDescent="0.3">
      <c r="B3" s="2"/>
      <c r="E3" s="33" t="s">
        <v>38</v>
      </c>
      <c r="F3" s="33"/>
      <c r="G3" s="15">
        <f>COUNTA(E8:L8)</f>
        <v>4</v>
      </c>
    </row>
    <row r="4" spans="1:16" x14ac:dyDescent="0.3">
      <c r="B4" s="2"/>
      <c r="C4" s="3"/>
    </row>
    <row r="6" spans="1:16" x14ac:dyDescent="0.3">
      <c r="D6" s="1" t="s">
        <v>0</v>
      </c>
      <c r="E6" s="28" t="s">
        <v>30</v>
      </c>
      <c r="F6" s="28"/>
      <c r="G6" s="25" t="s">
        <v>49</v>
      </c>
      <c r="H6" s="26"/>
      <c r="I6" s="28" t="s">
        <v>462</v>
      </c>
      <c r="J6" s="28"/>
      <c r="K6" s="28" t="s">
        <v>26</v>
      </c>
      <c r="L6" s="28"/>
    </row>
    <row r="7" spans="1:16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  <c r="K7" s="25">
        <v>2</v>
      </c>
      <c r="L7" s="26"/>
    </row>
    <row r="8" spans="1:16" x14ac:dyDescent="0.3">
      <c r="D8" s="1" t="s">
        <v>1</v>
      </c>
      <c r="E8" s="34">
        <v>45214</v>
      </c>
      <c r="F8" s="35"/>
      <c r="G8" s="34">
        <v>45263</v>
      </c>
      <c r="H8" s="35"/>
      <c r="I8" s="31">
        <v>45333</v>
      </c>
      <c r="J8" s="31"/>
      <c r="K8" s="31">
        <v>45389</v>
      </c>
      <c r="L8" s="31"/>
    </row>
    <row r="9" spans="1:16" x14ac:dyDescent="0.3">
      <c r="D9" s="1" t="s">
        <v>2</v>
      </c>
      <c r="E9" s="28">
        <v>4</v>
      </c>
      <c r="F9" s="28"/>
      <c r="G9" s="25">
        <v>5</v>
      </c>
      <c r="H9" s="26"/>
      <c r="I9" s="28">
        <v>4</v>
      </c>
      <c r="J9" s="28"/>
      <c r="K9" s="28">
        <v>7</v>
      </c>
      <c r="L9" s="28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39</v>
      </c>
      <c r="P10" s="1" t="s">
        <v>41</v>
      </c>
    </row>
    <row r="11" spans="1:16" x14ac:dyDescent="0.3">
      <c r="A11" s="5">
        <f t="shared" ref="A11:A17" si="0">N11</f>
        <v>1</v>
      </c>
      <c r="B11" s="6" t="s">
        <v>206</v>
      </c>
      <c r="C11" s="6" t="s">
        <v>163</v>
      </c>
      <c r="D11" s="6" t="s">
        <v>205</v>
      </c>
      <c r="E11" s="6">
        <v>1</v>
      </c>
      <c r="F11" s="7">
        <f>IF(E11=0,,($E$9-E11)*$E$7*100/$E$9)</f>
        <v>150</v>
      </c>
      <c r="G11" s="6">
        <v>1</v>
      </c>
      <c r="H11" s="6">
        <f>IF(G11=0,,($G$9-G11)*$G$7*100/$G$9)</f>
        <v>160</v>
      </c>
      <c r="I11" s="6">
        <v>1</v>
      </c>
      <c r="J11" s="7">
        <f t="shared" ref="J11:J17" si="1">IF(I11=0,,($I$9-I11)*$I$7*100/$I$9)</f>
        <v>150</v>
      </c>
      <c r="K11" s="6">
        <v>2</v>
      </c>
      <c r="L11" s="7">
        <f t="shared" ref="L11:L16" si="2">IF(K11=0,,($K$9-K11)*$K$7*100/$K$9)</f>
        <v>142.85714285714286</v>
      </c>
      <c r="M11" s="8">
        <f t="shared" ref="M11:M17" si="3">F11+H11+J11+L11</f>
        <v>602.85714285714289</v>
      </c>
      <c r="N11" s="6">
        <f t="shared" ref="N11:N17" si="4">ROW(B11)-10</f>
        <v>1</v>
      </c>
      <c r="O11" s="6">
        <f t="shared" ref="O11:O17" si="5">COUNTA(E11,G11,I11,K11)</f>
        <v>4</v>
      </c>
      <c r="P11" s="17">
        <f t="shared" ref="P11:P17" si="6">O11/$G$3</f>
        <v>1</v>
      </c>
    </row>
    <row r="12" spans="1:16" x14ac:dyDescent="0.3">
      <c r="A12" s="5">
        <f t="shared" si="0"/>
        <v>2</v>
      </c>
      <c r="B12" s="6" t="s">
        <v>207</v>
      </c>
      <c r="C12" s="6" t="s">
        <v>208</v>
      </c>
      <c r="D12" s="6" t="s">
        <v>108</v>
      </c>
      <c r="E12" s="6">
        <v>2</v>
      </c>
      <c r="F12" s="7">
        <f>IF(E12=0,,($E$9-E12)*$E$7*100/$E$9)</f>
        <v>100</v>
      </c>
      <c r="G12" s="6">
        <v>2</v>
      </c>
      <c r="H12" s="6">
        <f>IF(G12=0,,($G$9-G12)*$G$7*100/$G$9)</f>
        <v>120</v>
      </c>
      <c r="I12" s="6">
        <v>3</v>
      </c>
      <c r="J12" s="6">
        <f t="shared" si="1"/>
        <v>50</v>
      </c>
      <c r="K12" s="6">
        <v>5</v>
      </c>
      <c r="L12" s="7">
        <f t="shared" si="2"/>
        <v>57.142857142857146</v>
      </c>
      <c r="M12" s="8">
        <f t="shared" si="3"/>
        <v>327.14285714285717</v>
      </c>
      <c r="N12" s="6">
        <f t="shared" si="4"/>
        <v>2</v>
      </c>
      <c r="O12" s="6">
        <f t="shared" si="5"/>
        <v>4</v>
      </c>
      <c r="P12" s="17">
        <f t="shared" si="6"/>
        <v>1</v>
      </c>
    </row>
    <row r="13" spans="1:16" x14ac:dyDescent="0.3">
      <c r="A13" s="5">
        <f t="shared" si="0"/>
        <v>3</v>
      </c>
      <c r="B13" s="6" t="s">
        <v>195</v>
      </c>
      <c r="C13" s="6" t="s">
        <v>204</v>
      </c>
      <c r="D13" s="6" t="s">
        <v>117</v>
      </c>
      <c r="E13" s="6">
        <v>4</v>
      </c>
      <c r="F13" s="7">
        <v>25</v>
      </c>
      <c r="G13" s="6">
        <v>3</v>
      </c>
      <c r="H13" s="6">
        <f>IF(G13=0,,($G$9-G13)*$G$7*100/$G$9)</f>
        <v>80</v>
      </c>
      <c r="I13" s="6">
        <v>2</v>
      </c>
      <c r="J13" s="7">
        <f t="shared" si="1"/>
        <v>100</v>
      </c>
      <c r="K13" s="6">
        <v>4</v>
      </c>
      <c r="L13" s="7">
        <f t="shared" si="2"/>
        <v>85.714285714285708</v>
      </c>
      <c r="M13" s="8">
        <f t="shared" si="3"/>
        <v>290.71428571428572</v>
      </c>
      <c r="N13" s="6">
        <f t="shared" si="4"/>
        <v>3</v>
      </c>
      <c r="O13" s="6">
        <f t="shared" si="5"/>
        <v>4</v>
      </c>
      <c r="P13" s="17">
        <f t="shared" si="6"/>
        <v>1</v>
      </c>
    </row>
    <row r="14" spans="1:16" x14ac:dyDescent="0.3">
      <c r="A14" s="5">
        <f t="shared" si="0"/>
        <v>4</v>
      </c>
      <c r="B14" s="6" t="s">
        <v>358</v>
      </c>
      <c r="C14" s="6" t="s">
        <v>408</v>
      </c>
      <c r="D14" s="6" t="s">
        <v>359</v>
      </c>
      <c r="E14" s="6"/>
      <c r="F14" s="7">
        <f>IF(E14=0,,($E$9-E14)*$E$7*100/$E$9)</f>
        <v>0</v>
      </c>
      <c r="G14" s="6">
        <v>4</v>
      </c>
      <c r="H14" s="6">
        <f>IF(G14=0,,($G$9-G14)*$G$7*100/$G$9)</f>
        <v>40</v>
      </c>
      <c r="I14" s="6">
        <v>3</v>
      </c>
      <c r="J14" s="6">
        <f t="shared" si="1"/>
        <v>50</v>
      </c>
      <c r="K14" s="6">
        <v>3</v>
      </c>
      <c r="L14" s="7">
        <f t="shared" si="2"/>
        <v>114.28571428571429</v>
      </c>
      <c r="M14" s="8">
        <f t="shared" si="3"/>
        <v>204.28571428571428</v>
      </c>
      <c r="N14" s="6">
        <f t="shared" si="4"/>
        <v>4</v>
      </c>
      <c r="O14" s="6">
        <f t="shared" si="5"/>
        <v>3</v>
      </c>
      <c r="P14" s="17">
        <f t="shared" si="6"/>
        <v>0.75</v>
      </c>
    </row>
    <row r="15" spans="1:16" x14ac:dyDescent="0.3">
      <c r="A15" s="5">
        <f t="shared" si="0"/>
        <v>5</v>
      </c>
      <c r="B15" s="6" t="s">
        <v>409</v>
      </c>
      <c r="C15" s="6" t="s">
        <v>410</v>
      </c>
      <c r="D15" s="6" t="s">
        <v>117</v>
      </c>
      <c r="E15" s="6"/>
      <c r="F15" s="7">
        <f>IF(E15=0,,($E$9-E15)*$E$7*100/$E$9)</f>
        <v>0</v>
      </c>
      <c r="G15" s="6">
        <v>5</v>
      </c>
      <c r="H15" s="6">
        <f>40/2</f>
        <v>20</v>
      </c>
      <c r="I15" s="6"/>
      <c r="J15" s="6">
        <f t="shared" si="1"/>
        <v>0</v>
      </c>
      <c r="K15" s="6">
        <v>1</v>
      </c>
      <c r="L15" s="7">
        <f t="shared" si="2"/>
        <v>171.42857142857142</v>
      </c>
      <c r="M15" s="8">
        <f t="shared" si="3"/>
        <v>191.42857142857142</v>
      </c>
      <c r="N15" s="6">
        <f t="shared" si="4"/>
        <v>5</v>
      </c>
      <c r="O15" s="6">
        <f t="shared" si="5"/>
        <v>2</v>
      </c>
      <c r="P15" s="17">
        <f t="shared" si="6"/>
        <v>0.5</v>
      </c>
    </row>
    <row r="16" spans="1:16" x14ac:dyDescent="0.3">
      <c r="A16" s="5">
        <f t="shared" si="0"/>
        <v>6</v>
      </c>
      <c r="B16" s="6" t="s">
        <v>209</v>
      </c>
      <c r="C16" s="6" t="s">
        <v>210</v>
      </c>
      <c r="D16" s="6" t="s">
        <v>142</v>
      </c>
      <c r="E16" s="6">
        <v>3</v>
      </c>
      <c r="F16" s="7">
        <f>IF(E16=0,,($E$9-E16)*$E$7*100/$E$9)</f>
        <v>50</v>
      </c>
      <c r="G16" s="6"/>
      <c r="H16" s="6">
        <f>IF(G16=0,,($G$9-G16)*$G$7*100/$G$9)</f>
        <v>0</v>
      </c>
      <c r="I16" s="6"/>
      <c r="J16" s="6">
        <f t="shared" si="1"/>
        <v>0</v>
      </c>
      <c r="K16" s="6">
        <v>6</v>
      </c>
      <c r="L16" s="7">
        <f t="shared" si="2"/>
        <v>28.571428571428573</v>
      </c>
      <c r="M16" s="8">
        <f t="shared" si="3"/>
        <v>78.571428571428569</v>
      </c>
      <c r="N16" s="6">
        <f t="shared" si="4"/>
        <v>6</v>
      </c>
      <c r="O16" s="6">
        <f t="shared" si="5"/>
        <v>2</v>
      </c>
      <c r="P16" s="17">
        <f t="shared" si="6"/>
        <v>0.5</v>
      </c>
    </row>
    <row r="17" spans="1:16" x14ac:dyDescent="0.3">
      <c r="A17" s="5">
        <f t="shared" si="0"/>
        <v>7</v>
      </c>
      <c r="B17" s="6" t="s">
        <v>559</v>
      </c>
      <c r="C17" s="6" t="s">
        <v>560</v>
      </c>
      <c r="D17" s="6" t="s">
        <v>117</v>
      </c>
      <c r="E17" s="6"/>
      <c r="F17" s="7">
        <f>18/2</f>
        <v>9</v>
      </c>
      <c r="G17" s="6"/>
      <c r="H17" s="6">
        <f>IF(G17=0,,($G$9-G17)*$G$7*100/$G$9)</f>
        <v>0</v>
      </c>
      <c r="I17" s="6"/>
      <c r="J17" s="6">
        <f t="shared" si="1"/>
        <v>0</v>
      </c>
      <c r="K17" s="6">
        <v>7</v>
      </c>
      <c r="L17" s="7">
        <f>29/2</f>
        <v>14.5</v>
      </c>
      <c r="M17" s="8">
        <f t="shared" si="3"/>
        <v>23.5</v>
      </c>
      <c r="N17" s="6">
        <f t="shared" si="4"/>
        <v>7</v>
      </c>
      <c r="O17" s="6">
        <f t="shared" si="5"/>
        <v>1</v>
      </c>
      <c r="P17" s="17">
        <f t="shared" si="6"/>
        <v>0.25</v>
      </c>
    </row>
    <row r="18" spans="1:16" x14ac:dyDescent="0.3">
      <c r="A18" s="5">
        <f t="shared" ref="A18:A23" si="7">N18</f>
        <v>8</v>
      </c>
      <c r="B18" s="6"/>
      <c r="C18" s="6"/>
      <c r="D18" s="6"/>
      <c r="E18" s="6"/>
      <c r="F18" s="7">
        <f t="shared" ref="F18:F23" si="8">IF(E18=0,,($E$9-E18)*$E$7*100/$E$9)</f>
        <v>0</v>
      </c>
      <c r="G18" s="6"/>
      <c r="H18" s="6">
        <f t="shared" ref="H18:H23" si="9">IF(G18=0,,($G$9-G18)*$G$7*100/$G$9)</f>
        <v>0</v>
      </c>
      <c r="I18" s="6"/>
      <c r="J18" s="6">
        <f t="shared" ref="J18:J23" si="10">IF(I18=0,,($I$9-I18)*$I$7*100/$I$9)</f>
        <v>0</v>
      </c>
      <c r="K18" s="6"/>
      <c r="L18" s="7">
        <f t="shared" ref="L18:L23" si="11">IF(K18=0,,($K$9-K18)*$K$7*100/$K$9)</f>
        <v>0</v>
      </c>
      <c r="M18" s="8">
        <f t="shared" ref="M18:M23" si="12">F18+H18+J18+L18</f>
        <v>0</v>
      </c>
      <c r="N18" s="6">
        <f t="shared" ref="N18:N23" si="13">ROW(B18)-10</f>
        <v>8</v>
      </c>
      <c r="O18" s="6">
        <f t="shared" ref="O18:O23" si="14">COUNTA(E18,G18,I18,K18)</f>
        <v>0</v>
      </c>
      <c r="P18" s="17">
        <f t="shared" ref="P18:P23" si="15">O18/$G$3</f>
        <v>0</v>
      </c>
    </row>
    <row r="19" spans="1:16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6">
        <f t="shared" si="9"/>
        <v>0</v>
      </c>
      <c r="I19" s="6"/>
      <c r="J19" s="6">
        <f t="shared" si="10"/>
        <v>0</v>
      </c>
      <c r="K19" s="6"/>
      <c r="L19" s="7">
        <f t="shared" si="11"/>
        <v>0</v>
      </c>
      <c r="M19" s="8">
        <f t="shared" si="12"/>
        <v>0</v>
      </c>
      <c r="N19" s="6">
        <f t="shared" si="13"/>
        <v>9</v>
      </c>
      <c r="O19" s="6">
        <f t="shared" si="14"/>
        <v>0</v>
      </c>
      <c r="P19" s="17">
        <f t="shared" si="15"/>
        <v>0</v>
      </c>
    </row>
    <row r="20" spans="1:16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6">
        <f t="shared" si="9"/>
        <v>0</v>
      </c>
      <c r="I20" s="6"/>
      <c r="J20" s="6">
        <f t="shared" si="10"/>
        <v>0</v>
      </c>
      <c r="K20" s="6"/>
      <c r="L20" s="7">
        <f t="shared" si="11"/>
        <v>0</v>
      </c>
      <c r="M20" s="8">
        <f t="shared" si="12"/>
        <v>0</v>
      </c>
      <c r="N20" s="6">
        <f t="shared" si="13"/>
        <v>10</v>
      </c>
      <c r="O20" s="6">
        <f t="shared" si="14"/>
        <v>0</v>
      </c>
      <c r="P20" s="17">
        <f t="shared" si="15"/>
        <v>0</v>
      </c>
    </row>
    <row r="21" spans="1:16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6">
        <f t="shared" si="9"/>
        <v>0</v>
      </c>
      <c r="I21" s="6"/>
      <c r="J21" s="6">
        <f t="shared" si="10"/>
        <v>0</v>
      </c>
      <c r="K21" s="6"/>
      <c r="L21" s="7">
        <f t="shared" si="11"/>
        <v>0</v>
      </c>
      <c r="M21" s="8">
        <f t="shared" si="12"/>
        <v>0</v>
      </c>
      <c r="N21" s="6">
        <f t="shared" si="13"/>
        <v>11</v>
      </c>
      <c r="O21" s="6">
        <f t="shared" si="14"/>
        <v>0</v>
      </c>
      <c r="P21" s="17">
        <f t="shared" si="15"/>
        <v>0</v>
      </c>
    </row>
    <row r="22" spans="1:16" x14ac:dyDescent="0.3">
      <c r="A22" s="5">
        <f t="shared" si="7"/>
        <v>12</v>
      </c>
      <c r="B22" s="6"/>
      <c r="C22" s="6"/>
      <c r="D22" s="6"/>
      <c r="E22" s="6"/>
      <c r="F22" s="6">
        <f t="shared" si="8"/>
        <v>0</v>
      </c>
      <c r="G22" s="6"/>
      <c r="H22" s="6">
        <f t="shared" si="9"/>
        <v>0</v>
      </c>
      <c r="I22" s="6"/>
      <c r="J22" s="6">
        <f t="shared" si="10"/>
        <v>0</v>
      </c>
      <c r="K22" s="6"/>
      <c r="L22" s="7">
        <f t="shared" si="11"/>
        <v>0</v>
      </c>
      <c r="M22" s="8">
        <f t="shared" si="12"/>
        <v>0</v>
      </c>
      <c r="N22" s="6">
        <f t="shared" si="13"/>
        <v>12</v>
      </c>
      <c r="O22" s="6">
        <f t="shared" si="14"/>
        <v>0</v>
      </c>
      <c r="P22" s="17">
        <f t="shared" si="15"/>
        <v>0</v>
      </c>
    </row>
    <row r="23" spans="1:16" x14ac:dyDescent="0.3">
      <c r="A23" s="5">
        <f t="shared" si="7"/>
        <v>13</v>
      </c>
      <c r="B23" s="6"/>
      <c r="C23" s="6"/>
      <c r="D23" s="6"/>
      <c r="E23" s="6"/>
      <c r="F23" s="6">
        <f t="shared" si="8"/>
        <v>0</v>
      </c>
      <c r="G23" s="6"/>
      <c r="H23" s="6">
        <f t="shared" si="9"/>
        <v>0</v>
      </c>
      <c r="I23" s="6"/>
      <c r="J23" s="6">
        <f t="shared" si="10"/>
        <v>0</v>
      </c>
      <c r="K23" s="6"/>
      <c r="L23" s="7">
        <f t="shared" si="11"/>
        <v>0</v>
      </c>
      <c r="M23" s="8">
        <f t="shared" si="12"/>
        <v>0</v>
      </c>
      <c r="N23" s="6">
        <f t="shared" si="13"/>
        <v>13</v>
      </c>
      <c r="O23" s="6">
        <f t="shared" si="14"/>
        <v>0</v>
      </c>
      <c r="P23" s="17">
        <f t="shared" si="15"/>
        <v>0</v>
      </c>
    </row>
    <row r="24" spans="1:16" x14ac:dyDescent="0.3">
      <c r="A24" s="29" t="s">
        <v>18</v>
      </c>
      <c r="B24" s="29"/>
      <c r="C24" s="30"/>
      <c r="E24">
        <f>COUNTA(E11:E23)</f>
        <v>4</v>
      </c>
      <c r="G24">
        <f>COUNTA(G11:G23)</f>
        <v>5</v>
      </c>
      <c r="I24">
        <f>COUNTA(I11:I23)</f>
        <v>4</v>
      </c>
      <c r="K24">
        <f>COUNTA(K11:K23)</f>
        <v>7</v>
      </c>
    </row>
    <row r="25" spans="1:16" x14ac:dyDescent="0.3">
      <c r="A25" s="32" t="s">
        <v>40</v>
      </c>
      <c r="B25" s="32"/>
      <c r="C25" s="32"/>
      <c r="E25" s="16">
        <f>E24/G2</f>
        <v>0.5714285714285714</v>
      </c>
      <c r="G25" s="16">
        <f>G24/G2</f>
        <v>0.7142857142857143</v>
      </c>
      <c r="I25" s="16">
        <f>I24/G2</f>
        <v>0.5714285714285714</v>
      </c>
      <c r="K25" s="16">
        <f>K24/G2</f>
        <v>1</v>
      </c>
    </row>
  </sheetData>
  <sortState xmlns:xlrd2="http://schemas.microsoft.com/office/spreadsheetml/2017/richdata2" ref="A11:P17">
    <sortCondition descending="1" ref="M11:M17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20" sqref="A20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886718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</cols>
  <sheetData>
    <row r="1" spans="1:14" ht="31.2" x14ac:dyDescent="0.6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3" spans="1:14" x14ac:dyDescent="0.3">
      <c r="B3" s="2"/>
    </row>
    <row r="4" spans="1:14" x14ac:dyDescent="0.3">
      <c r="B4" s="2"/>
      <c r="C4" s="3"/>
    </row>
    <row r="6" spans="1:14" x14ac:dyDescent="0.3">
      <c r="D6" s="1" t="s">
        <v>0</v>
      </c>
      <c r="E6" s="28" t="s">
        <v>57</v>
      </c>
      <c r="F6" s="28"/>
      <c r="G6" s="28" t="s">
        <v>62</v>
      </c>
      <c r="H6" s="28"/>
      <c r="I6" s="28" t="s">
        <v>47</v>
      </c>
      <c r="J6" s="28"/>
      <c r="K6" s="28" t="s">
        <v>63</v>
      </c>
      <c r="L6" s="28"/>
    </row>
    <row r="7" spans="1:14" x14ac:dyDescent="0.3">
      <c r="D7" s="1" t="s">
        <v>10</v>
      </c>
      <c r="E7" s="25">
        <v>2</v>
      </c>
      <c r="F7" s="26"/>
      <c r="G7" s="25">
        <v>3</v>
      </c>
      <c r="H7" s="26"/>
      <c r="I7" s="25">
        <v>2</v>
      </c>
      <c r="J7" s="26"/>
      <c r="K7" s="25">
        <v>6</v>
      </c>
      <c r="L7" s="26"/>
    </row>
    <row r="8" spans="1:14" x14ac:dyDescent="0.3">
      <c r="D8" s="1" t="s">
        <v>1</v>
      </c>
      <c r="E8" s="31">
        <v>45312</v>
      </c>
      <c r="F8" s="31"/>
      <c r="G8" s="31">
        <v>45367</v>
      </c>
      <c r="H8" s="31"/>
      <c r="I8" s="31">
        <v>45389</v>
      </c>
      <c r="J8" s="31"/>
      <c r="K8" s="31">
        <v>45472</v>
      </c>
      <c r="L8" s="31"/>
    </row>
    <row r="9" spans="1:14" x14ac:dyDescent="0.3">
      <c r="D9" s="1" t="s">
        <v>2</v>
      </c>
      <c r="E9" s="28">
        <v>0</v>
      </c>
      <c r="F9" s="28"/>
      <c r="G9" s="28">
        <v>0</v>
      </c>
      <c r="H9" s="28"/>
      <c r="I9" s="28">
        <v>0</v>
      </c>
      <c r="J9" s="28"/>
      <c r="K9" s="28"/>
      <c r="L9" s="28"/>
    </row>
    <row r="10" spans="1:1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</row>
    <row r="11" spans="1:14" x14ac:dyDescent="0.3">
      <c r="A11" s="5">
        <f t="shared" ref="A11:A19" si="0">N11</f>
        <v>1</v>
      </c>
      <c r="B11" s="6"/>
      <c r="C11" s="6"/>
      <c r="D11" s="6"/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8">
        <f t="shared" ref="M11:M19" si="5">SUM(J11,L11)</f>
        <v>0</v>
      </c>
      <c r="N11" s="7">
        <f t="shared" ref="N11:N19" si="6">ROW(B11)-10</f>
        <v>1</v>
      </c>
    </row>
    <row r="12" spans="1:14" x14ac:dyDescent="0.3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8">
        <f t="shared" si="5"/>
        <v>0</v>
      </c>
      <c r="N12" s="7">
        <f t="shared" si="6"/>
        <v>2</v>
      </c>
    </row>
    <row r="13" spans="1:14" x14ac:dyDescent="0.3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8">
        <f t="shared" si="5"/>
        <v>0</v>
      </c>
      <c r="N13" s="7">
        <f t="shared" si="6"/>
        <v>3</v>
      </c>
    </row>
    <row r="14" spans="1:14" x14ac:dyDescent="0.3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8">
        <f t="shared" si="5"/>
        <v>0</v>
      </c>
      <c r="N14" s="7">
        <f t="shared" si="6"/>
        <v>4</v>
      </c>
    </row>
    <row r="15" spans="1:14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8">
        <f t="shared" si="5"/>
        <v>0</v>
      </c>
      <c r="N15" s="6">
        <f t="shared" si="6"/>
        <v>5</v>
      </c>
    </row>
    <row r="16" spans="1:14" x14ac:dyDescent="0.3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8">
        <f t="shared" si="5"/>
        <v>0</v>
      </c>
      <c r="N16" s="7">
        <f t="shared" si="6"/>
        <v>6</v>
      </c>
    </row>
    <row r="17" spans="1:14" x14ac:dyDescent="0.3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8">
        <f t="shared" si="5"/>
        <v>0</v>
      </c>
      <c r="N17" s="7">
        <f t="shared" si="6"/>
        <v>7</v>
      </c>
    </row>
    <row r="18" spans="1:14" x14ac:dyDescent="0.3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7">IF(I18=0,,($I$9-I18)*$I$7*100/$I$9)</f>
        <v>0</v>
      </c>
      <c r="K18" s="7"/>
      <c r="L18" s="7">
        <f t="shared" si="4"/>
        <v>0</v>
      </c>
      <c r="M18" s="8">
        <f t="shared" si="5"/>
        <v>0</v>
      </c>
      <c r="N18" s="7">
        <f t="shared" si="6"/>
        <v>8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7"/>
        <v>0</v>
      </c>
      <c r="K19" s="6"/>
      <c r="L19" s="7">
        <f t="shared" ref="L19:L33" si="8">IF(K19=0,,($K$9-K19)*$K$7*100/$K$9)</f>
        <v>0</v>
      </c>
      <c r="M19" s="8">
        <f t="shared" si="5"/>
        <v>0</v>
      </c>
      <c r="N19" s="6">
        <f t="shared" si="6"/>
        <v>9</v>
      </c>
    </row>
    <row r="20" spans="1:14" x14ac:dyDescent="0.3">
      <c r="A20" s="5">
        <f t="shared" ref="A20:A33" si="9">N20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7"/>
        <v>0</v>
      </c>
      <c r="K20" s="6"/>
      <c r="L20" s="7">
        <f t="shared" si="8"/>
        <v>0</v>
      </c>
      <c r="M20" s="8">
        <f t="shared" ref="M20:M33" si="10">SUM(J20,L20)</f>
        <v>0</v>
      </c>
      <c r="N20" s="6">
        <f t="shared" ref="N20:N24" si="11">ROW(B20)-10</f>
        <v>10</v>
      </c>
    </row>
    <row r="21" spans="1:14" x14ac:dyDescent="0.3">
      <c r="A21" s="5">
        <f t="shared" si="9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7"/>
        <v>0</v>
      </c>
      <c r="K21" s="6"/>
      <c r="L21" s="7">
        <f t="shared" si="8"/>
        <v>0</v>
      </c>
      <c r="M21" s="8">
        <f t="shared" si="10"/>
        <v>0</v>
      </c>
      <c r="N21" s="6">
        <f t="shared" si="11"/>
        <v>11</v>
      </c>
    </row>
    <row r="22" spans="1:14" x14ac:dyDescent="0.3">
      <c r="A22" s="5">
        <f t="shared" si="9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7"/>
        <v>0</v>
      </c>
      <c r="K22" s="6"/>
      <c r="L22" s="7">
        <f t="shared" si="8"/>
        <v>0</v>
      </c>
      <c r="M22" s="8">
        <f t="shared" si="10"/>
        <v>0</v>
      </c>
      <c r="N22" s="6">
        <f t="shared" si="11"/>
        <v>12</v>
      </c>
    </row>
    <row r="23" spans="1:14" x14ac:dyDescent="0.3">
      <c r="A23" s="5">
        <f t="shared" si="9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7"/>
        <v>0</v>
      </c>
      <c r="K23" s="6"/>
      <c r="L23" s="7">
        <f t="shared" si="8"/>
        <v>0</v>
      </c>
      <c r="M23" s="8">
        <f t="shared" si="10"/>
        <v>0</v>
      </c>
      <c r="N23" s="6">
        <f t="shared" si="11"/>
        <v>13</v>
      </c>
    </row>
    <row r="24" spans="1:14" x14ac:dyDescent="0.3">
      <c r="A24" s="5">
        <f t="shared" si="9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7"/>
        <v>0</v>
      </c>
      <c r="K24" s="6"/>
      <c r="L24" s="7">
        <f t="shared" si="8"/>
        <v>0</v>
      </c>
      <c r="M24" s="8">
        <f t="shared" si="10"/>
        <v>0</v>
      </c>
      <c r="N24" s="6">
        <f t="shared" si="11"/>
        <v>14</v>
      </c>
    </row>
    <row r="25" spans="1:14" x14ac:dyDescent="0.3">
      <c r="A25" s="5">
        <f t="shared" si="9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7"/>
        <v>0</v>
      </c>
      <c r="K25" s="6"/>
      <c r="L25" s="7">
        <f t="shared" si="8"/>
        <v>0</v>
      </c>
      <c r="M25" s="8">
        <f t="shared" si="10"/>
        <v>0</v>
      </c>
      <c r="N25" s="6"/>
    </row>
    <row r="26" spans="1:14" x14ac:dyDescent="0.3">
      <c r="A26" s="5">
        <f t="shared" si="9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7"/>
        <v>0</v>
      </c>
      <c r="K26" s="6"/>
      <c r="L26" s="7">
        <f t="shared" si="8"/>
        <v>0</v>
      </c>
      <c r="M26" s="8">
        <f t="shared" si="10"/>
        <v>0</v>
      </c>
      <c r="N26" s="6"/>
    </row>
    <row r="27" spans="1:14" x14ac:dyDescent="0.3">
      <c r="A27" s="5">
        <f t="shared" si="9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7"/>
        <v>0</v>
      </c>
      <c r="K27" s="6"/>
      <c r="L27" s="7">
        <f t="shared" si="8"/>
        <v>0</v>
      </c>
      <c r="M27" s="8">
        <f t="shared" si="10"/>
        <v>0</v>
      </c>
      <c r="N27" s="6"/>
    </row>
    <row r="28" spans="1:14" x14ac:dyDescent="0.3">
      <c r="A28" s="5">
        <f t="shared" si="9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7"/>
        <v>0</v>
      </c>
      <c r="K28" s="6"/>
      <c r="L28" s="7">
        <f t="shared" si="8"/>
        <v>0</v>
      </c>
      <c r="M28" s="8">
        <f t="shared" si="10"/>
        <v>0</v>
      </c>
      <c r="N28" s="6"/>
    </row>
    <row r="29" spans="1:14" x14ac:dyDescent="0.3">
      <c r="A29" s="5">
        <f t="shared" si="9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7"/>
        <v>0</v>
      </c>
      <c r="K29" s="6"/>
      <c r="L29" s="7">
        <f t="shared" si="8"/>
        <v>0</v>
      </c>
      <c r="M29" s="8">
        <f t="shared" si="10"/>
        <v>0</v>
      </c>
      <c r="N29" s="6"/>
    </row>
    <row r="30" spans="1:14" x14ac:dyDescent="0.3">
      <c r="A30" s="5">
        <f t="shared" si="9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7"/>
        <v>0</v>
      </c>
      <c r="K30" s="6"/>
      <c r="L30" s="7">
        <f t="shared" si="8"/>
        <v>0</v>
      </c>
      <c r="M30" s="8">
        <f t="shared" si="10"/>
        <v>0</v>
      </c>
      <c r="N30" s="6"/>
    </row>
    <row r="31" spans="1:14" x14ac:dyDescent="0.3">
      <c r="A31" s="5">
        <f t="shared" si="9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7"/>
        <v>0</v>
      </c>
      <c r="K31" s="6"/>
      <c r="L31" s="7">
        <f t="shared" si="8"/>
        <v>0</v>
      </c>
      <c r="M31" s="8">
        <f t="shared" si="10"/>
        <v>0</v>
      </c>
      <c r="N31" s="6"/>
    </row>
    <row r="32" spans="1:14" x14ac:dyDescent="0.3">
      <c r="A32" s="5">
        <f t="shared" si="9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7"/>
        <v>0</v>
      </c>
      <c r="K32" s="6"/>
      <c r="L32" s="7">
        <f t="shared" si="8"/>
        <v>0</v>
      </c>
      <c r="M32" s="8">
        <f t="shared" si="10"/>
        <v>0</v>
      </c>
      <c r="N32" s="6"/>
    </row>
    <row r="33" spans="1:14" x14ac:dyDescent="0.3">
      <c r="A33" s="5">
        <f t="shared" si="9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7"/>
        <v>0</v>
      </c>
      <c r="K33" s="6"/>
      <c r="L33" s="7">
        <f t="shared" si="8"/>
        <v>0</v>
      </c>
      <c r="M33" s="8">
        <f t="shared" si="10"/>
        <v>0</v>
      </c>
      <c r="N33" s="6"/>
    </row>
    <row r="34" spans="1:14" x14ac:dyDescent="0.3">
      <c r="A34" s="29" t="s">
        <v>18</v>
      </c>
      <c r="B34" s="29"/>
      <c r="C34" s="30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18"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28" sqref="F28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88671875" bestFit="1" customWidth="1"/>
    <col min="5" max="5" width="11.44140625" customWidth="1"/>
    <col min="6" max="6" width="17.6640625" customWidth="1"/>
    <col min="7" max="12" width="11.4414062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4" ht="31.2" x14ac:dyDescent="0.6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x14ac:dyDescent="0.3">
      <c r="E2" s="33" t="s">
        <v>36</v>
      </c>
      <c r="F2" s="33"/>
      <c r="G2" s="15">
        <f>COUNTA(B11:B23)</f>
        <v>7</v>
      </c>
    </row>
    <row r="3" spans="1:14" x14ac:dyDescent="0.3">
      <c r="B3" s="2"/>
      <c r="E3" s="33" t="s">
        <v>38</v>
      </c>
      <c r="F3" s="33"/>
      <c r="G3" s="15">
        <f>COUNTA(E8:J8)</f>
        <v>3</v>
      </c>
    </row>
    <row r="4" spans="1:14" x14ac:dyDescent="0.3">
      <c r="B4" s="2"/>
      <c r="C4" s="3"/>
    </row>
    <row r="6" spans="1:14" x14ac:dyDescent="0.3">
      <c r="D6" s="1" t="s">
        <v>0</v>
      </c>
      <c r="E6" s="25" t="s">
        <v>49</v>
      </c>
      <c r="F6" s="26"/>
      <c r="G6" s="28" t="s">
        <v>462</v>
      </c>
      <c r="H6" s="28"/>
      <c r="I6" s="28" t="s">
        <v>26</v>
      </c>
      <c r="J6" s="28"/>
    </row>
    <row r="7" spans="1:14" x14ac:dyDescent="0.3">
      <c r="D7" s="1" t="s">
        <v>10</v>
      </c>
      <c r="E7" s="25">
        <v>2</v>
      </c>
      <c r="F7" s="26"/>
      <c r="G7" s="25">
        <v>2</v>
      </c>
      <c r="H7" s="26"/>
      <c r="I7" s="25">
        <v>2</v>
      </c>
      <c r="J7" s="26"/>
    </row>
    <row r="8" spans="1:14" x14ac:dyDescent="0.3">
      <c r="D8" s="1" t="s">
        <v>1</v>
      </c>
      <c r="E8" s="34">
        <v>45263</v>
      </c>
      <c r="F8" s="35"/>
      <c r="G8" s="31">
        <v>45333</v>
      </c>
      <c r="H8" s="31"/>
      <c r="I8" s="31">
        <v>45389</v>
      </c>
      <c r="J8" s="31"/>
    </row>
    <row r="9" spans="1:14" x14ac:dyDescent="0.3">
      <c r="D9" s="1" t="s">
        <v>2</v>
      </c>
      <c r="E9" s="25">
        <v>5</v>
      </c>
      <c r="F9" s="26"/>
      <c r="G9" s="28">
        <v>4</v>
      </c>
      <c r="H9" s="28"/>
      <c r="I9" s="28">
        <v>7</v>
      </c>
      <c r="J9" s="28"/>
    </row>
    <row r="10" spans="1:1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9</v>
      </c>
      <c r="M10" s="1" t="s">
        <v>39</v>
      </c>
      <c r="N10" s="1" t="s">
        <v>41</v>
      </c>
    </row>
    <row r="11" spans="1:14" x14ac:dyDescent="0.3">
      <c r="A11" s="5">
        <f t="shared" ref="A11:A23" si="0">L11</f>
        <v>1</v>
      </c>
      <c r="B11" s="6" t="s">
        <v>206</v>
      </c>
      <c r="C11" s="6" t="s">
        <v>163</v>
      </c>
      <c r="D11" s="6" t="s">
        <v>205</v>
      </c>
      <c r="E11" s="6">
        <v>1</v>
      </c>
      <c r="F11" s="6">
        <f>IF(E11=0,,($E$9-E11)*$E$7*100/$E$9)</f>
        <v>160</v>
      </c>
      <c r="G11" s="6">
        <v>1</v>
      </c>
      <c r="H11" s="7">
        <f t="shared" ref="H11:H23" si="1">IF(G11=0,,($G$9-G11)*$G$7*100/$G$9)</f>
        <v>150</v>
      </c>
      <c r="I11" s="6">
        <v>2</v>
      </c>
      <c r="J11" s="7">
        <f t="shared" ref="J11:J16" si="2">IF(I11=0,,($I$9-I11)*$I$7*100/$I$9)</f>
        <v>142.85714285714286</v>
      </c>
      <c r="K11" s="8">
        <f t="shared" ref="K11:K23" si="3">J11+H11+F11</f>
        <v>452.85714285714289</v>
      </c>
      <c r="L11" s="6">
        <f t="shared" ref="L11:L23" si="4">ROW(B11)-10</f>
        <v>1</v>
      </c>
      <c r="M11" s="6">
        <f>COUNTA(#REF!,E11,G11,I11)</f>
        <v>4</v>
      </c>
      <c r="N11" s="17">
        <f t="shared" ref="N11:N23" si="5">M11/$G$3</f>
        <v>1.3333333333333333</v>
      </c>
    </row>
    <row r="12" spans="1:14" x14ac:dyDescent="0.3">
      <c r="A12" s="5">
        <f t="shared" si="0"/>
        <v>2</v>
      </c>
      <c r="B12" s="6" t="s">
        <v>195</v>
      </c>
      <c r="C12" s="6" t="s">
        <v>204</v>
      </c>
      <c r="D12" s="6" t="s">
        <v>117</v>
      </c>
      <c r="E12" s="6">
        <v>3</v>
      </c>
      <c r="F12" s="6">
        <f>IF(E12=0,,($E$9-E12)*$E$7*100/$E$9)</f>
        <v>80</v>
      </c>
      <c r="G12" s="6">
        <v>2</v>
      </c>
      <c r="H12" s="7">
        <f t="shared" si="1"/>
        <v>100</v>
      </c>
      <c r="I12" s="6">
        <v>3</v>
      </c>
      <c r="J12" s="7">
        <f t="shared" si="2"/>
        <v>114.28571428571429</v>
      </c>
      <c r="K12" s="8">
        <f t="shared" si="3"/>
        <v>294.28571428571428</v>
      </c>
      <c r="L12" s="6">
        <f t="shared" si="4"/>
        <v>2</v>
      </c>
      <c r="M12" s="6">
        <f>COUNTA(#REF!,E12,G12,I12)</f>
        <v>4</v>
      </c>
      <c r="N12" s="17">
        <f t="shared" si="5"/>
        <v>1.3333333333333333</v>
      </c>
    </row>
    <row r="13" spans="1:14" x14ac:dyDescent="0.3">
      <c r="A13" s="5">
        <f t="shared" si="0"/>
        <v>3</v>
      </c>
      <c r="B13" s="6" t="s">
        <v>207</v>
      </c>
      <c r="C13" s="6" t="s">
        <v>208</v>
      </c>
      <c r="D13" s="6" t="s">
        <v>108</v>
      </c>
      <c r="E13" s="6">
        <v>2</v>
      </c>
      <c r="F13" s="6">
        <f>IF(E13=0,,($E$9-E13)*$E$7*100/$E$9)</f>
        <v>120</v>
      </c>
      <c r="G13" s="6">
        <v>3</v>
      </c>
      <c r="H13" s="6">
        <f t="shared" si="1"/>
        <v>50</v>
      </c>
      <c r="I13" s="6">
        <v>5</v>
      </c>
      <c r="J13" s="7">
        <f t="shared" si="2"/>
        <v>57.142857142857146</v>
      </c>
      <c r="K13" s="8">
        <f t="shared" si="3"/>
        <v>227.14285714285714</v>
      </c>
      <c r="L13" s="6">
        <f t="shared" si="4"/>
        <v>3</v>
      </c>
      <c r="M13" s="6">
        <f>COUNTA(#REF!,E13,G13,I13)</f>
        <v>4</v>
      </c>
      <c r="N13" s="17">
        <f t="shared" si="5"/>
        <v>1.3333333333333333</v>
      </c>
    </row>
    <row r="14" spans="1:14" x14ac:dyDescent="0.3">
      <c r="A14" s="5">
        <f t="shared" si="0"/>
        <v>4</v>
      </c>
      <c r="B14" s="6" t="s">
        <v>358</v>
      </c>
      <c r="C14" s="6" t="s">
        <v>408</v>
      </c>
      <c r="D14" s="6" t="s">
        <v>359</v>
      </c>
      <c r="E14" s="6">
        <v>4</v>
      </c>
      <c r="F14" s="6">
        <f>IF(E14=0,,($E$9-E14)*$E$7*100/$E$9)</f>
        <v>40</v>
      </c>
      <c r="G14" s="6">
        <v>3</v>
      </c>
      <c r="H14" s="6">
        <f t="shared" si="1"/>
        <v>50</v>
      </c>
      <c r="I14" s="6">
        <v>3</v>
      </c>
      <c r="J14" s="7">
        <f t="shared" si="2"/>
        <v>114.28571428571429</v>
      </c>
      <c r="K14" s="8">
        <f t="shared" si="3"/>
        <v>204.28571428571428</v>
      </c>
      <c r="L14" s="6">
        <f t="shared" si="4"/>
        <v>4</v>
      </c>
      <c r="M14" s="6">
        <f>COUNTA(#REF!,E14,G14,I14)</f>
        <v>4</v>
      </c>
      <c r="N14" s="17">
        <f t="shared" si="5"/>
        <v>1.3333333333333333</v>
      </c>
    </row>
    <row r="15" spans="1:14" x14ac:dyDescent="0.3">
      <c r="A15" s="5">
        <f t="shared" si="0"/>
        <v>5</v>
      </c>
      <c r="B15" s="6" t="s">
        <v>409</v>
      </c>
      <c r="C15" s="6" t="s">
        <v>410</v>
      </c>
      <c r="D15" s="6" t="s">
        <v>117</v>
      </c>
      <c r="E15" s="6">
        <v>5</v>
      </c>
      <c r="F15" s="6">
        <f>40/2</f>
        <v>20</v>
      </c>
      <c r="G15" s="6"/>
      <c r="H15" s="6">
        <f t="shared" si="1"/>
        <v>0</v>
      </c>
      <c r="I15" s="6">
        <v>1</v>
      </c>
      <c r="J15" s="7">
        <f t="shared" si="2"/>
        <v>171.42857142857142</v>
      </c>
      <c r="K15" s="8">
        <f t="shared" si="3"/>
        <v>191.42857142857142</v>
      </c>
      <c r="L15" s="6">
        <f t="shared" si="4"/>
        <v>5</v>
      </c>
      <c r="M15" s="6">
        <f>COUNTA(#REF!,E15,G15,I15)</f>
        <v>3</v>
      </c>
      <c r="N15" s="17">
        <f t="shared" si="5"/>
        <v>1</v>
      </c>
    </row>
    <row r="16" spans="1:14" x14ac:dyDescent="0.3">
      <c r="A16" s="5">
        <f t="shared" si="0"/>
        <v>6</v>
      </c>
      <c r="B16" s="6" t="s">
        <v>209</v>
      </c>
      <c r="C16" s="6" t="s">
        <v>210</v>
      </c>
      <c r="D16" s="6" t="s">
        <v>142</v>
      </c>
      <c r="E16" s="6"/>
      <c r="F16" s="6">
        <f t="shared" ref="F16:F23" si="6">IF(E16=0,,($E$9-E16)*$E$7*100/$E$9)</f>
        <v>0</v>
      </c>
      <c r="G16" s="6"/>
      <c r="H16" s="6">
        <f t="shared" si="1"/>
        <v>0</v>
      </c>
      <c r="I16" s="6">
        <v>6</v>
      </c>
      <c r="J16" s="7">
        <f t="shared" si="2"/>
        <v>28.571428571428573</v>
      </c>
      <c r="K16" s="8">
        <f t="shared" si="3"/>
        <v>28.571428571428573</v>
      </c>
      <c r="L16" s="6">
        <f t="shared" si="4"/>
        <v>6</v>
      </c>
      <c r="M16" s="6">
        <f>COUNTA(#REF!,E16,G16,I16)</f>
        <v>2</v>
      </c>
      <c r="N16" s="17">
        <f t="shared" si="5"/>
        <v>0.66666666666666663</v>
      </c>
    </row>
    <row r="17" spans="1:14" x14ac:dyDescent="0.3">
      <c r="A17" s="5">
        <f t="shared" si="0"/>
        <v>7</v>
      </c>
      <c r="B17" s="6" t="s">
        <v>559</v>
      </c>
      <c r="C17" s="6" t="s">
        <v>560</v>
      </c>
      <c r="D17" s="6" t="s">
        <v>117</v>
      </c>
      <c r="E17" s="6"/>
      <c r="F17" s="6">
        <f t="shared" si="6"/>
        <v>0</v>
      </c>
      <c r="G17" s="6"/>
      <c r="H17" s="6">
        <f t="shared" si="1"/>
        <v>0</v>
      </c>
      <c r="I17" s="6">
        <v>7</v>
      </c>
      <c r="J17" s="7">
        <f>29/2</f>
        <v>14.5</v>
      </c>
      <c r="K17" s="8">
        <f t="shared" si="3"/>
        <v>14.5</v>
      </c>
      <c r="L17" s="6">
        <f t="shared" si="4"/>
        <v>7</v>
      </c>
      <c r="M17" s="6">
        <f>COUNTA(#REF!,E17,G17,I17)</f>
        <v>2</v>
      </c>
      <c r="N17" s="17">
        <f t="shared" si="5"/>
        <v>0.66666666666666663</v>
      </c>
    </row>
    <row r="18" spans="1:14" x14ac:dyDescent="0.3">
      <c r="A18" s="5">
        <f t="shared" si="0"/>
        <v>8</v>
      </c>
      <c r="B18" s="6"/>
      <c r="C18" s="6"/>
      <c r="D18" s="6"/>
      <c r="E18" s="6"/>
      <c r="F18" s="6">
        <f t="shared" si="6"/>
        <v>0</v>
      </c>
      <c r="G18" s="6"/>
      <c r="H18" s="6">
        <f t="shared" si="1"/>
        <v>0</v>
      </c>
      <c r="I18" s="6"/>
      <c r="J18" s="7">
        <f t="shared" ref="J18:J23" si="7">IF(I18=0,,($I$9-I18)*$I$7*100/$I$9)</f>
        <v>0</v>
      </c>
      <c r="K18" s="8">
        <f t="shared" si="3"/>
        <v>0</v>
      </c>
      <c r="L18" s="6">
        <f t="shared" si="4"/>
        <v>8</v>
      </c>
      <c r="M18" s="6">
        <f>COUNTA(#REF!,E18,G18,I18)</f>
        <v>1</v>
      </c>
      <c r="N18" s="17">
        <f t="shared" si="5"/>
        <v>0.33333333333333331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6">
        <f t="shared" si="6"/>
        <v>0</v>
      </c>
      <c r="G19" s="6"/>
      <c r="H19" s="6">
        <f t="shared" si="1"/>
        <v>0</v>
      </c>
      <c r="I19" s="6"/>
      <c r="J19" s="7">
        <f t="shared" si="7"/>
        <v>0</v>
      </c>
      <c r="K19" s="8">
        <f t="shared" si="3"/>
        <v>0</v>
      </c>
      <c r="L19" s="6">
        <f t="shared" si="4"/>
        <v>9</v>
      </c>
      <c r="M19" s="6">
        <f>COUNTA(#REF!,E19,G19,I19)</f>
        <v>1</v>
      </c>
      <c r="N19" s="17">
        <f t="shared" si="5"/>
        <v>0.33333333333333331</v>
      </c>
    </row>
    <row r="20" spans="1:14" x14ac:dyDescent="0.3">
      <c r="A20" s="5">
        <f t="shared" si="0"/>
        <v>10</v>
      </c>
      <c r="B20" s="6"/>
      <c r="C20" s="6"/>
      <c r="D20" s="6"/>
      <c r="E20" s="6"/>
      <c r="F20" s="6">
        <f t="shared" si="6"/>
        <v>0</v>
      </c>
      <c r="G20" s="6"/>
      <c r="H20" s="6">
        <f t="shared" si="1"/>
        <v>0</v>
      </c>
      <c r="I20" s="6"/>
      <c r="J20" s="7">
        <f t="shared" si="7"/>
        <v>0</v>
      </c>
      <c r="K20" s="8">
        <f t="shared" si="3"/>
        <v>0</v>
      </c>
      <c r="L20" s="6">
        <f t="shared" si="4"/>
        <v>10</v>
      </c>
      <c r="M20" s="6">
        <f>COUNTA(#REF!,E20,G20,I20)</f>
        <v>1</v>
      </c>
      <c r="N20" s="17">
        <f t="shared" si="5"/>
        <v>0.33333333333333331</v>
      </c>
    </row>
    <row r="21" spans="1:14" x14ac:dyDescent="0.3">
      <c r="A21" s="5">
        <f t="shared" si="0"/>
        <v>11</v>
      </c>
      <c r="B21" s="6"/>
      <c r="C21" s="6"/>
      <c r="D21" s="6"/>
      <c r="E21" s="6"/>
      <c r="F21" s="6">
        <f t="shared" si="6"/>
        <v>0</v>
      </c>
      <c r="G21" s="6"/>
      <c r="H21" s="6">
        <f t="shared" si="1"/>
        <v>0</v>
      </c>
      <c r="I21" s="6"/>
      <c r="J21" s="7">
        <f t="shared" si="7"/>
        <v>0</v>
      </c>
      <c r="K21" s="8">
        <f t="shared" si="3"/>
        <v>0</v>
      </c>
      <c r="L21" s="6">
        <f t="shared" si="4"/>
        <v>11</v>
      </c>
      <c r="M21" s="6">
        <f>COUNTA(#REF!,E21,G21,I21)</f>
        <v>1</v>
      </c>
      <c r="N21" s="17">
        <f t="shared" si="5"/>
        <v>0.33333333333333331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6">
        <f t="shared" si="6"/>
        <v>0</v>
      </c>
      <c r="G22" s="6"/>
      <c r="H22" s="6">
        <f t="shared" si="1"/>
        <v>0</v>
      </c>
      <c r="I22" s="6"/>
      <c r="J22" s="7">
        <f t="shared" si="7"/>
        <v>0</v>
      </c>
      <c r="K22" s="8">
        <f t="shared" si="3"/>
        <v>0</v>
      </c>
      <c r="L22" s="6">
        <f t="shared" si="4"/>
        <v>12</v>
      </c>
      <c r="M22" s="6">
        <f>COUNTA(#REF!,E22,G22,I22)</f>
        <v>1</v>
      </c>
      <c r="N22" s="17">
        <f t="shared" si="5"/>
        <v>0.33333333333333331</v>
      </c>
    </row>
    <row r="23" spans="1:14" x14ac:dyDescent="0.3">
      <c r="A23" s="5">
        <f t="shared" si="0"/>
        <v>13</v>
      </c>
      <c r="B23" s="6"/>
      <c r="C23" s="6"/>
      <c r="D23" s="6"/>
      <c r="E23" s="6"/>
      <c r="F23" s="6">
        <f t="shared" si="6"/>
        <v>0</v>
      </c>
      <c r="G23" s="6"/>
      <c r="H23" s="6">
        <f t="shared" si="1"/>
        <v>0</v>
      </c>
      <c r="I23" s="6"/>
      <c r="J23" s="7">
        <f t="shared" si="7"/>
        <v>0</v>
      </c>
      <c r="K23" s="8">
        <f t="shared" si="3"/>
        <v>0</v>
      </c>
      <c r="L23" s="6">
        <f t="shared" si="4"/>
        <v>13</v>
      </c>
      <c r="M23" s="6">
        <f>COUNTA(#REF!,E23,G23,I23)</f>
        <v>1</v>
      </c>
      <c r="N23" s="17">
        <f t="shared" si="5"/>
        <v>0.33333333333333331</v>
      </c>
    </row>
    <row r="24" spans="1:14" x14ac:dyDescent="0.3">
      <c r="A24" s="29" t="s">
        <v>18</v>
      </c>
      <c r="B24" s="29"/>
      <c r="C24" s="30"/>
      <c r="E24">
        <f>COUNTA(E11:E23)</f>
        <v>5</v>
      </c>
      <c r="G24">
        <f>COUNTA(G11:G23)</f>
        <v>4</v>
      </c>
      <c r="I24">
        <f>COUNTA(I11:I23)</f>
        <v>7</v>
      </c>
    </row>
    <row r="25" spans="1:14" x14ac:dyDescent="0.3">
      <c r="A25" s="32" t="s">
        <v>40</v>
      </c>
      <c r="B25" s="32"/>
      <c r="C25" s="32"/>
      <c r="E25" s="16">
        <f>E24/G2</f>
        <v>0.7142857142857143</v>
      </c>
      <c r="G25" s="16">
        <f>G24/G2</f>
        <v>0.5714285714285714</v>
      </c>
      <c r="I25" s="16">
        <f>I24/G2</f>
        <v>1</v>
      </c>
    </row>
  </sheetData>
  <sortState xmlns:xlrd2="http://schemas.microsoft.com/office/spreadsheetml/2017/richdata2" ref="A11:N23">
    <sortCondition descending="1" ref="K11:K23"/>
  </sortState>
  <mergeCells count="17">
    <mergeCell ref="A1:M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A24:C24"/>
    <mergeCell ref="A25:C25"/>
  </mergeCells>
  <pageMargins left="0.25" right="0.25" top="0.75" bottom="0.75" header="0.3" footer="0.3"/>
  <pageSetup paperSize="9" scale="74" fitToHeight="0"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H29" sqref="H29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886718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6" ht="31.2" x14ac:dyDescent="0.6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6" x14ac:dyDescent="0.3">
      <c r="B3" s="2"/>
    </row>
    <row r="4" spans="1:16" x14ac:dyDescent="0.3">
      <c r="B4" s="2"/>
      <c r="C4" s="3"/>
    </row>
    <row r="6" spans="1:16" x14ac:dyDescent="0.3">
      <c r="D6" s="1" t="s">
        <v>0</v>
      </c>
      <c r="E6" s="28" t="s">
        <v>59</v>
      </c>
      <c r="F6" s="28"/>
      <c r="G6" s="28" t="s">
        <v>45</v>
      </c>
      <c r="H6" s="28"/>
      <c r="I6" s="28" t="s">
        <v>57</v>
      </c>
      <c r="J6" s="28"/>
      <c r="K6" s="28" t="s">
        <v>62</v>
      </c>
      <c r="L6" s="28"/>
      <c r="M6" s="28" t="s">
        <v>47</v>
      </c>
      <c r="N6" s="28"/>
    </row>
    <row r="7" spans="1:16" x14ac:dyDescent="0.3">
      <c r="D7" s="1" t="s">
        <v>10</v>
      </c>
      <c r="E7" s="25">
        <v>5</v>
      </c>
      <c r="F7" s="26"/>
      <c r="G7" s="25">
        <v>5</v>
      </c>
      <c r="H7" s="26"/>
      <c r="I7" s="25">
        <v>2</v>
      </c>
      <c r="J7" s="26"/>
      <c r="K7" s="25">
        <v>3</v>
      </c>
      <c r="L7" s="26"/>
      <c r="M7" s="25">
        <v>2</v>
      </c>
      <c r="N7" s="26"/>
    </row>
    <row r="8" spans="1:16" x14ac:dyDescent="0.3">
      <c r="D8" s="1" t="s">
        <v>1</v>
      </c>
      <c r="E8" s="31">
        <v>45221</v>
      </c>
      <c r="F8" s="31"/>
      <c r="G8" s="31">
        <v>45255</v>
      </c>
      <c r="H8" s="31"/>
      <c r="I8" s="31">
        <v>45312</v>
      </c>
      <c r="J8" s="31"/>
      <c r="K8" s="31">
        <v>45367</v>
      </c>
      <c r="L8" s="31"/>
      <c r="M8" s="31">
        <v>45389</v>
      </c>
      <c r="N8" s="31"/>
    </row>
    <row r="9" spans="1:16" x14ac:dyDescent="0.3">
      <c r="D9" s="1" t="s">
        <v>2</v>
      </c>
      <c r="E9" s="28">
        <v>138</v>
      </c>
      <c r="F9" s="28"/>
      <c r="G9" s="28">
        <v>0</v>
      </c>
      <c r="H9" s="28"/>
      <c r="I9" s="28">
        <v>0</v>
      </c>
      <c r="J9" s="28"/>
      <c r="K9" s="28">
        <v>12</v>
      </c>
      <c r="L9" s="28"/>
      <c r="M9" s="28">
        <v>8</v>
      </c>
      <c r="N9" s="28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</row>
    <row r="11" spans="1:16" x14ac:dyDescent="0.3">
      <c r="A11" s="5">
        <f t="shared" ref="A11:A23" si="0">P11</f>
        <v>1</v>
      </c>
      <c r="B11" s="6" t="s">
        <v>524</v>
      </c>
      <c r="C11" s="6" t="s">
        <v>525</v>
      </c>
      <c r="D11" s="6" t="s">
        <v>90</v>
      </c>
      <c r="E11" s="21"/>
      <c r="F11" s="7">
        <f>IF(E11=0,,($E$9-E11)*$E$7*100/$E$9)</f>
        <v>0</v>
      </c>
      <c r="G11" s="21"/>
      <c r="H11" s="7">
        <f>IF(G11=0,,($E$9-G11)*$E$7*100/$E$9)</f>
        <v>0</v>
      </c>
      <c r="I11" s="21"/>
      <c r="J11" s="7">
        <f t="shared" ref="J11:J23" si="1">IF(I11=0,,($I$9-I11)*$I$7*100/$I$9)</f>
        <v>0</v>
      </c>
      <c r="K11" s="21">
        <v>1</v>
      </c>
      <c r="L11" s="7">
        <f t="shared" ref="L11:L22" si="2">IF(K11=0,,($K$9-K11)*$K$7*100/$K$9)</f>
        <v>275</v>
      </c>
      <c r="M11" s="21"/>
      <c r="N11" s="7">
        <f t="shared" ref="N11:N21" si="3">IF(M11=0,,($M$9-M11)*$M$7*100/$M$9)</f>
        <v>0</v>
      </c>
      <c r="O11" s="8">
        <f t="shared" ref="O11:O23" si="4">SUM(F11,H11,L11,J11,N11)</f>
        <v>275</v>
      </c>
      <c r="P11" s="7">
        <f t="shared" ref="P11:P23" si="5">ROW(B11)-10</f>
        <v>1</v>
      </c>
    </row>
    <row r="12" spans="1:16" x14ac:dyDescent="0.3">
      <c r="A12" s="5">
        <f t="shared" si="0"/>
        <v>2</v>
      </c>
      <c r="B12" s="6" t="s">
        <v>526</v>
      </c>
      <c r="C12" s="6" t="s">
        <v>527</v>
      </c>
      <c r="D12" s="6" t="s">
        <v>315</v>
      </c>
      <c r="E12" s="7"/>
      <c r="F12" s="7">
        <f>IF(E12=0,,($E$9-E12)*$E$7*100/$E$9)</f>
        <v>0</v>
      </c>
      <c r="G12" s="7"/>
      <c r="H12" s="7">
        <f>IF(G12=0,,($E$9-G12)*$E$7*100/$E$9)</f>
        <v>0</v>
      </c>
      <c r="I12" s="7"/>
      <c r="J12" s="7">
        <f t="shared" si="1"/>
        <v>0</v>
      </c>
      <c r="K12" s="7">
        <v>2</v>
      </c>
      <c r="L12" s="7">
        <f t="shared" si="2"/>
        <v>250</v>
      </c>
      <c r="M12" s="7"/>
      <c r="N12" s="7">
        <f t="shared" si="3"/>
        <v>0</v>
      </c>
      <c r="O12" s="8">
        <f t="shared" si="4"/>
        <v>250</v>
      </c>
      <c r="P12" s="7">
        <f t="shared" si="5"/>
        <v>2</v>
      </c>
    </row>
    <row r="13" spans="1:16" x14ac:dyDescent="0.3">
      <c r="A13" s="5">
        <f t="shared" si="0"/>
        <v>3</v>
      </c>
      <c r="B13" s="6" t="s">
        <v>532</v>
      </c>
      <c r="C13" s="6" t="s">
        <v>533</v>
      </c>
      <c r="D13" s="6" t="s">
        <v>143</v>
      </c>
      <c r="E13" s="7"/>
      <c r="F13" s="7">
        <f>IF(E13=0,,($E$9-E13)*$E$7*100/$E$9)</f>
        <v>0</v>
      </c>
      <c r="G13" s="7"/>
      <c r="H13" s="7">
        <f>IF(G13=0,,($E$9-G13)*$E$7*100/$E$9)</f>
        <v>0</v>
      </c>
      <c r="I13" s="7"/>
      <c r="J13" s="7">
        <f t="shared" si="1"/>
        <v>0</v>
      </c>
      <c r="K13" s="7">
        <v>5</v>
      </c>
      <c r="L13" s="7">
        <f t="shared" si="2"/>
        <v>175</v>
      </c>
      <c r="M13" s="7">
        <v>5</v>
      </c>
      <c r="N13" s="7">
        <f t="shared" si="3"/>
        <v>75</v>
      </c>
      <c r="O13" s="8">
        <f t="shared" si="4"/>
        <v>250</v>
      </c>
      <c r="P13" s="7">
        <f t="shared" si="5"/>
        <v>3</v>
      </c>
    </row>
    <row r="14" spans="1:16" x14ac:dyDescent="0.3">
      <c r="A14" s="5">
        <f t="shared" si="0"/>
        <v>4</v>
      </c>
      <c r="B14" s="6" t="s">
        <v>529</v>
      </c>
      <c r="C14" s="6" t="s">
        <v>528</v>
      </c>
      <c r="D14" s="6" t="s">
        <v>530</v>
      </c>
      <c r="E14" s="7"/>
      <c r="F14" s="7">
        <f>IF(E14=0,,($E$9-E14)*$E$7*100/$E$9)</f>
        <v>0</v>
      </c>
      <c r="G14" s="7"/>
      <c r="H14" s="7">
        <f>IF(G14=0,,($E$9-G14)*$E$7*100/$E$9)</f>
        <v>0</v>
      </c>
      <c r="I14" s="7"/>
      <c r="J14" s="7">
        <f t="shared" si="1"/>
        <v>0</v>
      </c>
      <c r="K14" s="7">
        <v>3</v>
      </c>
      <c r="L14" s="7">
        <f t="shared" si="2"/>
        <v>225</v>
      </c>
      <c r="M14" s="7"/>
      <c r="N14" s="7">
        <f t="shared" si="3"/>
        <v>0</v>
      </c>
      <c r="O14" s="8">
        <f t="shared" si="4"/>
        <v>225</v>
      </c>
      <c r="P14" s="7">
        <f t="shared" si="5"/>
        <v>4</v>
      </c>
    </row>
    <row r="15" spans="1:16" x14ac:dyDescent="0.3">
      <c r="A15" s="5">
        <f t="shared" si="0"/>
        <v>5</v>
      </c>
      <c r="B15" s="6" t="s">
        <v>531</v>
      </c>
      <c r="C15" s="6" t="s">
        <v>105</v>
      </c>
      <c r="D15" s="6" t="s">
        <v>315</v>
      </c>
      <c r="E15" s="7"/>
      <c r="F15" s="7">
        <f>IF(E15=0,,($E$9-E15)*$E$7*100/$E$9)</f>
        <v>0</v>
      </c>
      <c r="G15" s="7"/>
      <c r="H15" s="7">
        <f>IF(G15=0,,($E$9-G15)*$E$7*100/$E$9)</f>
        <v>0</v>
      </c>
      <c r="I15" s="7"/>
      <c r="J15" s="7">
        <f t="shared" si="1"/>
        <v>0</v>
      </c>
      <c r="K15" s="7">
        <v>3</v>
      </c>
      <c r="L15" s="7">
        <f t="shared" si="2"/>
        <v>225</v>
      </c>
      <c r="M15" s="7"/>
      <c r="N15" s="7">
        <f t="shared" si="3"/>
        <v>0</v>
      </c>
      <c r="O15" s="8">
        <f t="shared" si="4"/>
        <v>225</v>
      </c>
      <c r="P15" s="7">
        <f t="shared" si="5"/>
        <v>5</v>
      </c>
    </row>
    <row r="16" spans="1:16" x14ac:dyDescent="0.3">
      <c r="A16" s="5">
        <f t="shared" si="0"/>
        <v>6</v>
      </c>
      <c r="B16" s="6" t="s">
        <v>537</v>
      </c>
      <c r="C16" s="6" t="s">
        <v>538</v>
      </c>
      <c r="D16" s="6" t="s">
        <v>143</v>
      </c>
      <c r="E16" s="6"/>
      <c r="F16" s="6">
        <f>IF(E16=0,,$E$9+1-E16)</f>
        <v>0</v>
      </c>
      <c r="G16" s="6"/>
      <c r="H16" s="6">
        <f>IF(G16=0,,$E$9+1-G16)</f>
        <v>0</v>
      </c>
      <c r="I16" s="6"/>
      <c r="J16" s="7">
        <f t="shared" si="1"/>
        <v>0</v>
      </c>
      <c r="K16" s="6">
        <v>10</v>
      </c>
      <c r="L16" s="7">
        <f t="shared" si="2"/>
        <v>50</v>
      </c>
      <c r="M16" s="6">
        <v>3</v>
      </c>
      <c r="N16" s="7">
        <f t="shared" si="3"/>
        <v>125</v>
      </c>
      <c r="O16" s="8">
        <f t="shared" si="4"/>
        <v>175</v>
      </c>
      <c r="P16" s="7">
        <f t="shared" si="5"/>
        <v>6</v>
      </c>
    </row>
    <row r="17" spans="1:16" x14ac:dyDescent="0.3">
      <c r="A17" s="5">
        <f t="shared" si="0"/>
        <v>7</v>
      </c>
      <c r="B17" s="6" t="s">
        <v>508</v>
      </c>
      <c r="C17" s="6" t="s">
        <v>363</v>
      </c>
      <c r="D17" s="6" t="s">
        <v>509</v>
      </c>
      <c r="E17" s="6"/>
      <c r="F17" s="6">
        <f>IF(E17=0,,$E$9+1-E17)</f>
        <v>0</v>
      </c>
      <c r="G17" s="6"/>
      <c r="H17" s="6">
        <f>IF(G17=0,,$E$9+1-G17)</f>
        <v>0</v>
      </c>
      <c r="I17" s="6"/>
      <c r="J17" s="7">
        <f t="shared" si="1"/>
        <v>0</v>
      </c>
      <c r="K17" s="6">
        <v>6</v>
      </c>
      <c r="L17" s="7">
        <f t="shared" si="2"/>
        <v>150</v>
      </c>
      <c r="M17" s="6"/>
      <c r="N17" s="7">
        <f t="shared" si="3"/>
        <v>0</v>
      </c>
      <c r="O17" s="8">
        <f t="shared" si="4"/>
        <v>150</v>
      </c>
      <c r="P17" s="7">
        <f t="shared" si="5"/>
        <v>7</v>
      </c>
    </row>
    <row r="18" spans="1:16" x14ac:dyDescent="0.3">
      <c r="A18" s="5">
        <f t="shared" si="0"/>
        <v>8</v>
      </c>
      <c r="B18" s="6" t="s">
        <v>332</v>
      </c>
      <c r="C18" s="6" t="s">
        <v>333</v>
      </c>
      <c r="D18" s="6" t="s">
        <v>315</v>
      </c>
      <c r="E18" s="7">
        <v>129</v>
      </c>
      <c r="F18" s="7">
        <f>IF(E18=0,,($E$9-E18)*$E$7*100/$E$9)</f>
        <v>32.608695652173914</v>
      </c>
      <c r="G18" s="7"/>
      <c r="H18" s="7">
        <f>IF(G18=0,,($E$9-G18)*$E$7*100/$E$9)</f>
        <v>0</v>
      </c>
      <c r="I18" s="7"/>
      <c r="J18" s="7">
        <f t="shared" si="1"/>
        <v>0</v>
      </c>
      <c r="K18" s="7">
        <v>8</v>
      </c>
      <c r="L18" s="7">
        <f t="shared" si="2"/>
        <v>100</v>
      </c>
      <c r="M18" s="7"/>
      <c r="N18" s="7">
        <f t="shared" si="3"/>
        <v>0</v>
      </c>
      <c r="O18" s="8">
        <f t="shared" si="4"/>
        <v>132.60869565217391</v>
      </c>
      <c r="P18" s="7">
        <f t="shared" si="5"/>
        <v>8</v>
      </c>
    </row>
    <row r="19" spans="1:16" x14ac:dyDescent="0.3">
      <c r="A19" s="5">
        <f t="shared" si="0"/>
        <v>9</v>
      </c>
      <c r="B19" s="6" t="s">
        <v>534</v>
      </c>
      <c r="C19" s="6" t="s">
        <v>105</v>
      </c>
      <c r="D19" s="6" t="s">
        <v>143</v>
      </c>
      <c r="E19" s="6"/>
      <c r="F19" s="6">
        <f>IF(E19=0,,$E$9+1-E19)</f>
        <v>0</v>
      </c>
      <c r="G19" s="6"/>
      <c r="H19" s="6">
        <f>IF(G19=0,,$E$9+1-G19)</f>
        <v>0</v>
      </c>
      <c r="I19" s="6"/>
      <c r="J19" s="7">
        <f t="shared" si="1"/>
        <v>0</v>
      </c>
      <c r="K19" s="6">
        <v>7</v>
      </c>
      <c r="L19" s="7">
        <f t="shared" si="2"/>
        <v>125</v>
      </c>
      <c r="M19" s="6"/>
      <c r="N19" s="7">
        <f t="shared" si="3"/>
        <v>0</v>
      </c>
      <c r="O19" s="8">
        <f t="shared" si="4"/>
        <v>125</v>
      </c>
      <c r="P19" s="7">
        <f t="shared" si="5"/>
        <v>9</v>
      </c>
    </row>
    <row r="20" spans="1:16" x14ac:dyDescent="0.3">
      <c r="A20" s="5">
        <f t="shared" si="0"/>
        <v>10</v>
      </c>
      <c r="B20" s="6" t="s">
        <v>535</v>
      </c>
      <c r="C20" s="6" t="s">
        <v>536</v>
      </c>
      <c r="D20" s="6" t="s">
        <v>509</v>
      </c>
      <c r="E20" s="6"/>
      <c r="F20" s="6">
        <f>IF(E20=0,,$E$9+1-E20)</f>
        <v>0</v>
      </c>
      <c r="G20" s="6"/>
      <c r="H20" s="6">
        <f>IF(G20=0,,$E$9+1-G20)</f>
        <v>0</v>
      </c>
      <c r="I20" s="6"/>
      <c r="J20" s="7">
        <f t="shared" si="1"/>
        <v>0</v>
      </c>
      <c r="K20" s="6">
        <v>9</v>
      </c>
      <c r="L20" s="7">
        <f t="shared" si="2"/>
        <v>75</v>
      </c>
      <c r="M20" s="6"/>
      <c r="N20" s="7">
        <f t="shared" si="3"/>
        <v>0</v>
      </c>
      <c r="O20" s="8">
        <f t="shared" si="4"/>
        <v>75</v>
      </c>
      <c r="P20" s="7">
        <f t="shared" si="5"/>
        <v>10</v>
      </c>
    </row>
    <row r="21" spans="1:16" x14ac:dyDescent="0.3">
      <c r="A21" s="5">
        <f t="shared" si="0"/>
        <v>11</v>
      </c>
      <c r="B21" s="6" t="s">
        <v>329</v>
      </c>
      <c r="C21" s="6" t="s">
        <v>330</v>
      </c>
      <c r="D21" s="7" t="s">
        <v>344</v>
      </c>
      <c r="E21" s="6">
        <v>127</v>
      </c>
      <c r="F21" s="7">
        <f>IF(E21=0,,($E$9-E21)*$E$7*100/$E$9)</f>
        <v>39.855072463768117</v>
      </c>
      <c r="G21" s="6"/>
      <c r="H21" s="7">
        <f>IF(G21=0,,($G$9-G21)*$G$7*100/$G$9)</f>
        <v>0</v>
      </c>
      <c r="I21" s="6"/>
      <c r="J21" s="7">
        <f t="shared" si="1"/>
        <v>0</v>
      </c>
      <c r="K21" s="6"/>
      <c r="L21" s="7">
        <f t="shared" si="2"/>
        <v>0</v>
      </c>
      <c r="M21" s="6"/>
      <c r="N21" s="7">
        <f t="shared" si="3"/>
        <v>0</v>
      </c>
      <c r="O21" s="8">
        <f t="shared" si="4"/>
        <v>39.855072463768117</v>
      </c>
      <c r="P21" s="7">
        <f t="shared" si="5"/>
        <v>11</v>
      </c>
    </row>
    <row r="22" spans="1:16" x14ac:dyDescent="0.3">
      <c r="A22" s="5">
        <f t="shared" si="0"/>
        <v>12</v>
      </c>
      <c r="B22" s="6" t="s">
        <v>539</v>
      </c>
      <c r="C22" s="6" t="s">
        <v>296</v>
      </c>
      <c r="D22" s="6" t="s">
        <v>143</v>
      </c>
      <c r="E22" s="6"/>
      <c r="F22" s="6">
        <f>IF(E22=0,,$E$9+1-E22)</f>
        <v>0</v>
      </c>
      <c r="G22" s="6"/>
      <c r="H22" s="6">
        <f>IF(G22=0,,$E$9+1-G22)</f>
        <v>0</v>
      </c>
      <c r="I22" s="6"/>
      <c r="J22" s="7">
        <f t="shared" si="1"/>
        <v>0</v>
      </c>
      <c r="K22" s="6">
        <v>11</v>
      </c>
      <c r="L22" s="7">
        <f t="shared" si="2"/>
        <v>25</v>
      </c>
      <c r="M22" s="6">
        <v>8</v>
      </c>
      <c r="N22" s="7">
        <f>25/2</f>
        <v>12.5</v>
      </c>
      <c r="O22" s="8">
        <f t="shared" si="4"/>
        <v>37.5</v>
      </c>
      <c r="P22" s="7">
        <f t="shared" si="5"/>
        <v>12</v>
      </c>
    </row>
    <row r="23" spans="1:16" x14ac:dyDescent="0.3">
      <c r="A23" s="5">
        <f t="shared" si="0"/>
        <v>13</v>
      </c>
      <c r="B23" s="6" t="s">
        <v>540</v>
      </c>
      <c r="C23" s="6" t="s">
        <v>541</v>
      </c>
      <c r="D23" s="6" t="s">
        <v>143</v>
      </c>
      <c r="E23" s="6"/>
      <c r="F23" s="6">
        <f>IF(E23=0,,$E$9+1-E23)</f>
        <v>0</v>
      </c>
      <c r="G23" s="6"/>
      <c r="H23" s="6">
        <f>IF(G23=0,,$E$9+1-G23)</f>
        <v>0</v>
      </c>
      <c r="I23" s="6"/>
      <c r="J23" s="7">
        <f t="shared" si="1"/>
        <v>0</v>
      </c>
      <c r="K23" s="6">
        <v>12</v>
      </c>
      <c r="L23" s="7">
        <f>25/2</f>
        <v>12.5</v>
      </c>
      <c r="M23" s="6"/>
      <c r="N23" s="7">
        <f>IF(M23=0,,($M$9-M23)*$M$7*100/$M$9)</f>
        <v>0</v>
      </c>
      <c r="O23" s="8">
        <f t="shared" si="4"/>
        <v>12.5</v>
      </c>
      <c r="P23" s="7">
        <f t="shared" si="5"/>
        <v>13</v>
      </c>
    </row>
    <row r="24" spans="1:16" x14ac:dyDescent="0.3">
      <c r="A24" s="5"/>
      <c r="B24" s="6"/>
      <c r="C24" s="6"/>
      <c r="D24" s="6"/>
      <c r="E24" s="6"/>
      <c r="F24" s="6">
        <f t="shared" ref="F24:F33" si="6">IF(E24=0,,$E$9+1-E24)</f>
        <v>0</v>
      </c>
      <c r="G24" s="6"/>
      <c r="H24" s="6">
        <f t="shared" ref="H24:H33" si="7">IF(G24=0,,$E$9+1-G24)</f>
        <v>0</v>
      </c>
      <c r="I24" s="6"/>
      <c r="J24" s="7">
        <f t="shared" ref="J24:J33" si="8">IF(I24=0,,($I$9-I24)*$I$7*100/$I$9)</f>
        <v>0</v>
      </c>
      <c r="K24" s="6"/>
      <c r="L24" s="7">
        <f t="shared" ref="L24:L33" si="9">IF(K24=0,,($K$9-K24)*$K$7*100/$K$9)</f>
        <v>0</v>
      </c>
      <c r="M24" s="6"/>
      <c r="N24" s="7">
        <f t="shared" ref="N24:N33" si="10">IF(M24=0,,($M$9-M24)*$M$7*100/$M$9)</f>
        <v>0</v>
      </c>
      <c r="O24" s="8">
        <f t="shared" ref="O24:O33" si="11">SUM(F24,H24,L24,J24,N24)</f>
        <v>0</v>
      </c>
      <c r="P24" s="7">
        <f t="shared" ref="P24:P33" si="12">ROW(B24)-10</f>
        <v>14</v>
      </c>
    </row>
    <row r="25" spans="1:16" x14ac:dyDescent="0.3">
      <c r="A25" s="5"/>
      <c r="B25" s="6"/>
      <c r="C25" s="6"/>
      <c r="D25" s="6"/>
      <c r="E25" s="6"/>
      <c r="F25" s="6">
        <f t="shared" si="6"/>
        <v>0</v>
      </c>
      <c r="G25" s="6"/>
      <c r="H25" s="6">
        <f t="shared" si="7"/>
        <v>0</v>
      </c>
      <c r="I25" s="6"/>
      <c r="J25" s="7">
        <f t="shared" si="8"/>
        <v>0</v>
      </c>
      <c r="K25" s="6"/>
      <c r="L25" s="7">
        <f t="shared" si="9"/>
        <v>0</v>
      </c>
      <c r="M25" s="6"/>
      <c r="N25" s="7">
        <f t="shared" si="10"/>
        <v>0</v>
      </c>
      <c r="O25" s="8">
        <f t="shared" si="11"/>
        <v>0</v>
      </c>
      <c r="P25" s="7">
        <f t="shared" si="12"/>
        <v>15</v>
      </c>
    </row>
    <row r="26" spans="1:16" x14ac:dyDescent="0.3">
      <c r="A26" s="5"/>
      <c r="B26" s="6"/>
      <c r="C26" s="6"/>
      <c r="D26" s="6"/>
      <c r="E26" s="6"/>
      <c r="F26" s="6">
        <f t="shared" si="6"/>
        <v>0</v>
      </c>
      <c r="G26" s="6"/>
      <c r="H26" s="6">
        <f t="shared" si="7"/>
        <v>0</v>
      </c>
      <c r="I26" s="6"/>
      <c r="J26" s="7">
        <f t="shared" si="8"/>
        <v>0</v>
      </c>
      <c r="K26" s="6"/>
      <c r="L26" s="7">
        <f t="shared" si="9"/>
        <v>0</v>
      </c>
      <c r="M26" s="6"/>
      <c r="N26" s="7">
        <f t="shared" si="10"/>
        <v>0</v>
      </c>
      <c r="O26" s="8">
        <f t="shared" si="11"/>
        <v>0</v>
      </c>
      <c r="P26" s="7">
        <f t="shared" si="12"/>
        <v>16</v>
      </c>
    </row>
    <row r="27" spans="1:16" x14ac:dyDescent="0.3">
      <c r="A27" s="5"/>
      <c r="B27" s="6"/>
      <c r="C27" s="6"/>
      <c r="D27" s="6"/>
      <c r="E27" s="6"/>
      <c r="F27" s="6">
        <f t="shared" si="6"/>
        <v>0</v>
      </c>
      <c r="G27" s="6"/>
      <c r="H27" s="6">
        <f t="shared" si="7"/>
        <v>0</v>
      </c>
      <c r="I27" s="6"/>
      <c r="J27" s="7">
        <f t="shared" si="8"/>
        <v>0</v>
      </c>
      <c r="K27" s="6"/>
      <c r="L27" s="7">
        <f t="shared" si="9"/>
        <v>0</v>
      </c>
      <c r="M27" s="6"/>
      <c r="N27" s="7">
        <f t="shared" si="10"/>
        <v>0</v>
      </c>
      <c r="O27" s="8">
        <f t="shared" si="11"/>
        <v>0</v>
      </c>
      <c r="P27" s="7">
        <f t="shared" si="12"/>
        <v>17</v>
      </c>
    </row>
    <row r="28" spans="1:16" x14ac:dyDescent="0.3">
      <c r="A28" s="5"/>
      <c r="B28" s="6"/>
      <c r="C28" s="6"/>
      <c r="D28" s="6"/>
      <c r="E28" s="6"/>
      <c r="F28" s="6">
        <f t="shared" si="6"/>
        <v>0</v>
      </c>
      <c r="G28" s="6"/>
      <c r="H28" s="6">
        <f t="shared" si="7"/>
        <v>0</v>
      </c>
      <c r="I28" s="6"/>
      <c r="J28" s="7">
        <f t="shared" si="8"/>
        <v>0</v>
      </c>
      <c r="K28" s="6"/>
      <c r="L28" s="7">
        <f t="shared" si="9"/>
        <v>0</v>
      </c>
      <c r="M28" s="6"/>
      <c r="N28" s="7">
        <f t="shared" si="10"/>
        <v>0</v>
      </c>
      <c r="O28" s="8">
        <f t="shared" si="11"/>
        <v>0</v>
      </c>
      <c r="P28" s="7">
        <f t="shared" si="12"/>
        <v>18</v>
      </c>
    </row>
    <row r="29" spans="1:16" x14ac:dyDescent="0.3">
      <c r="A29" s="5"/>
      <c r="B29" s="6"/>
      <c r="C29" s="6"/>
      <c r="D29" s="6"/>
      <c r="E29" s="6"/>
      <c r="F29" s="6">
        <f t="shared" si="6"/>
        <v>0</v>
      </c>
      <c r="G29" s="6"/>
      <c r="H29" s="6">
        <f t="shared" si="7"/>
        <v>0</v>
      </c>
      <c r="I29" s="6"/>
      <c r="J29" s="7">
        <f t="shared" si="8"/>
        <v>0</v>
      </c>
      <c r="K29" s="6"/>
      <c r="L29" s="7">
        <f t="shared" si="9"/>
        <v>0</v>
      </c>
      <c r="M29" s="6"/>
      <c r="N29" s="7">
        <f t="shared" si="10"/>
        <v>0</v>
      </c>
      <c r="O29" s="8">
        <f t="shared" si="11"/>
        <v>0</v>
      </c>
      <c r="P29" s="7">
        <f t="shared" si="12"/>
        <v>19</v>
      </c>
    </row>
    <row r="30" spans="1:16" x14ac:dyDescent="0.3">
      <c r="A30" s="5"/>
      <c r="B30" s="6"/>
      <c r="C30" s="6"/>
      <c r="D30" s="6"/>
      <c r="E30" s="6"/>
      <c r="F30" s="6">
        <f t="shared" si="6"/>
        <v>0</v>
      </c>
      <c r="G30" s="6"/>
      <c r="H30" s="6">
        <f t="shared" si="7"/>
        <v>0</v>
      </c>
      <c r="I30" s="6"/>
      <c r="J30" s="7">
        <f t="shared" si="8"/>
        <v>0</v>
      </c>
      <c r="K30" s="6"/>
      <c r="L30" s="7">
        <f t="shared" si="9"/>
        <v>0</v>
      </c>
      <c r="M30" s="6"/>
      <c r="N30" s="7">
        <f t="shared" si="10"/>
        <v>0</v>
      </c>
      <c r="O30" s="8">
        <f t="shared" si="11"/>
        <v>0</v>
      </c>
      <c r="P30" s="7">
        <f t="shared" si="12"/>
        <v>20</v>
      </c>
    </row>
    <row r="31" spans="1:16" x14ac:dyDescent="0.3">
      <c r="A31" s="5"/>
      <c r="B31" s="6"/>
      <c r="C31" s="6"/>
      <c r="D31" s="6"/>
      <c r="E31" s="6"/>
      <c r="F31" s="6">
        <f t="shared" si="6"/>
        <v>0</v>
      </c>
      <c r="G31" s="6"/>
      <c r="H31" s="6">
        <f t="shared" si="7"/>
        <v>0</v>
      </c>
      <c r="I31" s="6"/>
      <c r="J31" s="7">
        <f t="shared" si="8"/>
        <v>0</v>
      </c>
      <c r="K31" s="6"/>
      <c r="L31" s="7">
        <f t="shared" si="9"/>
        <v>0</v>
      </c>
      <c r="M31" s="6"/>
      <c r="N31" s="7">
        <f t="shared" si="10"/>
        <v>0</v>
      </c>
      <c r="O31" s="8">
        <f t="shared" si="11"/>
        <v>0</v>
      </c>
      <c r="P31" s="7">
        <f t="shared" si="12"/>
        <v>21</v>
      </c>
    </row>
    <row r="32" spans="1:16" x14ac:dyDescent="0.3">
      <c r="A32" s="5"/>
      <c r="B32" s="6"/>
      <c r="C32" s="6"/>
      <c r="D32" s="6"/>
      <c r="E32" s="6"/>
      <c r="F32" s="6">
        <f t="shared" si="6"/>
        <v>0</v>
      </c>
      <c r="G32" s="6"/>
      <c r="H32" s="6">
        <f t="shared" si="7"/>
        <v>0</v>
      </c>
      <c r="I32" s="6"/>
      <c r="J32" s="7">
        <f t="shared" si="8"/>
        <v>0</v>
      </c>
      <c r="K32" s="6"/>
      <c r="L32" s="7">
        <f t="shared" si="9"/>
        <v>0</v>
      </c>
      <c r="M32" s="6"/>
      <c r="N32" s="7">
        <f t="shared" si="10"/>
        <v>0</v>
      </c>
      <c r="O32" s="8">
        <f t="shared" si="11"/>
        <v>0</v>
      </c>
      <c r="P32" s="7">
        <f t="shared" si="12"/>
        <v>22</v>
      </c>
    </row>
    <row r="33" spans="1:16" x14ac:dyDescent="0.3">
      <c r="A33" s="5"/>
      <c r="B33" s="6"/>
      <c r="C33" s="6"/>
      <c r="D33" s="6"/>
      <c r="E33" s="6"/>
      <c r="F33" s="6">
        <f t="shared" si="6"/>
        <v>0</v>
      </c>
      <c r="G33" s="6"/>
      <c r="H33" s="6">
        <f t="shared" si="7"/>
        <v>0</v>
      </c>
      <c r="I33" s="6"/>
      <c r="J33" s="7">
        <f t="shared" si="8"/>
        <v>0</v>
      </c>
      <c r="K33" s="6"/>
      <c r="L33" s="7">
        <f t="shared" si="9"/>
        <v>0</v>
      </c>
      <c r="M33" s="6"/>
      <c r="N33" s="7">
        <f t="shared" si="10"/>
        <v>0</v>
      </c>
      <c r="O33" s="8">
        <f t="shared" si="11"/>
        <v>0</v>
      </c>
      <c r="P33" s="7">
        <f t="shared" si="12"/>
        <v>23</v>
      </c>
    </row>
    <row r="34" spans="1:16" x14ac:dyDescent="0.3">
      <c r="A34" s="29" t="s">
        <v>18</v>
      </c>
      <c r="B34" s="29"/>
      <c r="C34" s="30"/>
      <c r="E34">
        <f>COUNTA(E11:E33)</f>
        <v>2</v>
      </c>
      <c r="G34">
        <f>COUNTA(G11:G33)</f>
        <v>0</v>
      </c>
      <c r="I34">
        <f>COUNTA(I11:I33)</f>
        <v>0</v>
      </c>
      <c r="K34">
        <f>COUNTA(K11:K33)</f>
        <v>12</v>
      </c>
      <c r="M34">
        <f>COUNTA(M11:M33)</f>
        <v>3</v>
      </c>
    </row>
    <row r="37" spans="1:16" x14ac:dyDescent="0.3">
      <c r="L37" t="s">
        <v>22</v>
      </c>
    </row>
    <row r="38" spans="1:16" x14ac:dyDescent="0.3">
      <c r="L38" t="s">
        <v>22</v>
      </c>
    </row>
  </sheetData>
  <sortState xmlns:xlrd2="http://schemas.microsoft.com/office/spreadsheetml/2017/richdata2" ref="A11:P23">
    <sortCondition descending="1" ref="O11:O23"/>
  </sortState>
  <mergeCells count="22">
    <mergeCell ref="A34:C34"/>
    <mergeCell ref="A1:M1"/>
    <mergeCell ref="E6:F6"/>
    <mergeCell ref="E7:F7"/>
    <mergeCell ref="E8:F8"/>
    <mergeCell ref="E9:F9"/>
    <mergeCell ref="M6:N6"/>
    <mergeCell ref="M7:N7"/>
    <mergeCell ref="M8:N8"/>
    <mergeCell ref="M9:N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13" sqref="A1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886718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</cols>
  <sheetData>
    <row r="1" spans="1:16" ht="31.2" x14ac:dyDescent="0.6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6" x14ac:dyDescent="0.3">
      <c r="B3" s="2"/>
    </row>
    <row r="4" spans="1:16" x14ac:dyDescent="0.3">
      <c r="B4" s="2"/>
      <c r="C4" s="3"/>
    </row>
    <row r="6" spans="1:16" x14ac:dyDescent="0.3">
      <c r="D6" s="1" t="s">
        <v>0</v>
      </c>
      <c r="E6" s="28" t="s">
        <v>59</v>
      </c>
      <c r="F6" s="28"/>
      <c r="G6" s="28" t="s">
        <v>45</v>
      </c>
      <c r="H6" s="28"/>
      <c r="I6" s="28" t="s">
        <v>57</v>
      </c>
      <c r="J6" s="28"/>
      <c r="K6" s="28" t="s">
        <v>62</v>
      </c>
      <c r="L6" s="28"/>
      <c r="M6" s="28" t="s">
        <v>47</v>
      </c>
      <c r="N6" s="28"/>
    </row>
    <row r="7" spans="1:16" x14ac:dyDescent="0.3">
      <c r="D7" s="1" t="s">
        <v>10</v>
      </c>
      <c r="E7" s="25">
        <v>5</v>
      </c>
      <c r="F7" s="26"/>
      <c r="G7" s="25">
        <v>5</v>
      </c>
      <c r="H7" s="26"/>
      <c r="I7" s="25">
        <v>2</v>
      </c>
      <c r="J7" s="26"/>
      <c r="K7" s="25">
        <v>3</v>
      </c>
      <c r="L7" s="26"/>
      <c r="M7" s="25">
        <v>2</v>
      </c>
      <c r="N7" s="26"/>
    </row>
    <row r="8" spans="1:16" x14ac:dyDescent="0.3">
      <c r="D8" s="1" t="s">
        <v>1</v>
      </c>
      <c r="E8" s="31">
        <v>45221</v>
      </c>
      <c r="F8" s="31"/>
      <c r="G8" s="31">
        <v>45255</v>
      </c>
      <c r="H8" s="31"/>
      <c r="I8" s="31">
        <v>45312</v>
      </c>
      <c r="J8" s="31"/>
      <c r="K8" s="31">
        <v>45367</v>
      </c>
      <c r="L8" s="31"/>
      <c r="M8" s="31">
        <v>45389</v>
      </c>
      <c r="N8" s="31"/>
    </row>
    <row r="9" spans="1:16" x14ac:dyDescent="0.3">
      <c r="D9" s="1" t="s">
        <v>2</v>
      </c>
      <c r="E9" s="28">
        <v>83</v>
      </c>
      <c r="F9" s="28"/>
      <c r="G9" s="28">
        <v>0</v>
      </c>
      <c r="H9" s="28"/>
      <c r="I9" s="28">
        <v>0</v>
      </c>
      <c r="J9" s="28"/>
      <c r="K9" s="28">
        <v>5</v>
      </c>
      <c r="L9" s="28"/>
      <c r="M9" s="28">
        <v>8</v>
      </c>
      <c r="N9" s="28"/>
    </row>
    <row r="10" spans="1:1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</row>
    <row r="11" spans="1:16" x14ac:dyDescent="0.3">
      <c r="A11" s="5">
        <f>P11</f>
        <v>1</v>
      </c>
      <c r="B11" s="6" t="s">
        <v>343</v>
      </c>
      <c r="C11" s="6" t="s">
        <v>316</v>
      </c>
      <c r="D11" s="7" t="s">
        <v>334</v>
      </c>
      <c r="E11">
        <v>68</v>
      </c>
      <c r="F11" s="7">
        <f>IF(E11=0,,($E$9-E11)*$E$7*100/$E$9)</f>
        <v>90.361445783132524</v>
      </c>
      <c r="H11" s="7">
        <f>IF(G11=0,,($G$9-G11)*$G$7*100/$G$9)</f>
        <v>0</v>
      </c>
      <c r="J11" s="7">
        <f>IF(I11=0,,($I$9-I11)*$I$7*100/$I$9)</f>
        <v>0</v>
      </c>
      <c r="K11">
        <v>1</v>
      </c>
      <c r="L11" s="7">
        <f>IF(K11=0,,($K$9-K11)*$K$7*100/$K$9)</f>
        <v>240</v>
      </c>
      <c r="N11" s="7">
        <f>IF(M11=0,,($M$9-M11)*$M$7*100/$M$9)</f>
        <v>0</v>
      </c>
      <c r="O11" s="8">
        <f>SUM(F11,H11,L11,J11,N11)</f>
        <v>330.36144578313252</v>
      </c>
      <c r="P11" s="7">
        <f>ROW(B11)-10</f>
        <v>1</v>
      </c>
    </row>
    <row r="12" spans="1:16" x14ac:dyDescent="0.3">
      <c r="A12" s="5">
        <f>P12</f>
        <v>2</v>
      </c>
      <c r="B12" s="6" t="s">
        <v>269</v>
      </c>
      <c r="C12" s="6" t="s">
        <v>517</v>
      </c>
      <c r="D12" s="6" t="s">
        <v>90</v>
      </c>
      <c r="E12" s="7"/>
      <c r="F12" s="7">
        <f>IF(E12=0,,($E$9-E12)*$E$7*100/$E$9)</f>
        <v>0</v>
      </c>
      <c r="G12" s="7"/>
      <c r="H12" s="7">
        <f>IF(G12=0,,($E$9-G12)*$E$7*100/$E$9)</f>
        <v>0</v>
      </c>
      <c r="I12" s="7"/>
      <c r="J12" s="7">
        <f>IF(I12=0,,($I$9-I12)*$I$7*100/$I$9)</f>
        <v>0</v>
      </c>
      <c r="K12" s="7">
        <v>2</v>
      </c>
      <c r="L12" s="7">
        <f>IF(K12=0,,($K$9-K12)*$K$7*100/$K$9)</f>
        <v>180</v>
      </c>
      <c r="M12" s="7"/>
      <c r="N12" s="7">
        <f>IF(M12=0,,($M$9-M12)*$M$7*100/$M$9)</f>
        <v>0</v>
      </c>
      <c r="O12" s="8">
        <f>SUM(F12,H12,L12,J12,N12)</f>
        <v>180</v>
      </c>
      <c r="P12" s="7">
        <f>ROW(B12)-10</f>
        <v>2</v>
      </c>
    </row>
    <row r="13" spans="1:16" x14ac:dyDescent="0.3">
      <c r="A13" s="5">
        <f>P13</f>
        <v>3</v>
      </c>
      <c r="B13" s="6" t="s">
        <v>518</v>
      </c>
      <c r="C13" s="6" t="s">
        <v>519</v>
      </c>
      <c r="D13" s="6" t="s">
        <v>143</v>
      </c>
      <c r="E13" s="7"/>
      <c r="F13" s="7">
        <f>IF(E13=0,,($E$9-E13)*$E$7*100/$E$9)</f>
        <v>0</v>
      </c>
      <c r="G13" s="7"/>
      <c r="H13" s="7">
        <f>IF(G13=0,,($E$9-G13)*$E$7*100/$E$9)</f>
        <v>0</v>
      </c>
      <c r="I13" s="7"/>
      <c r="J13" s="7">
        <f>IF(I13=0,,($I$9-I13)*$I$7*100/$I$9)</f>
        <v>0</v>
      </c>
      <c r="K13" s="7">
        <v>3</v>
      </c>
      <c r="L13" s="7">
        <f>IF(K13=0,,($K$9-K13)*$K$7*100/$K$9)</f>
        <v>120</v>
      </c>
      <c r="M13" s="7">
        <v>6</v>
      </c>
      <c r="N13" s="7">
        <f>IF(M13=0,,($M$9-M13)*$M$7*100/$M$9)</f>
        <v>50</v>
      </c>
      <c r="O13" s="8">
        <f>SUM(F13,H13,L13,J13,N13)</f>
        <v>170</v>
      </c>
      <c r="P13" s="7">
        <f>ROW(B13)-10</f>
        <v>3</v>
      </c>
    </row>
    <row r="14" spans="1:16" x14ac:dyDescent="0.3">
      <c r="A14" s="5">
        <f>P14</f>
        <v>4</v>
      </c>
      <c r="B14" s="6" t="s">
        <v>520</v>
      </c>
      <c r="C14" s="6" t="s">
        <v>521</v>
      </c>
      <c r="D14" s="6" t="s">
        <v>143</v>
      </c>
      <c r="E14" s="7"/>
      <c r="F14" s="7">
        <f>IF(E14=0,,($E$9-E14)*$E$7*100/$E$9)</f>
        <v>0</v>
      </c>
      <c r="G14" s="7"/>
      <c r="H14" s="7">
        <f>IF(G14=0,,($E$9-G14)*$E$7*100/$E$9)</f>
        <v>0</v>
      </c>
      <c r="I14" s="7"/>
      <c r="J14" s="7">
        <f>IF(I14=0,,($I$9-I14)*$I$7*100/$I$9)</f>
        <v>0</v>
      </c>
      <c r="K14" s="7">
        <v>3</v>
      </c>
      <c r="L14" s="7">
        <f>IF(K14=0,,($K$9-K14)*$K$7*100/$K$9)</f>
        <v>120</v>
      </c>
      <c r="M14" s="7"/>
      <c r="N14" s="7">
        <f>IF(M14=0,,($M$9-M14)*$M$7*100/$M$9)</f>
        <v>0</v>
      </c>
      <c r="O14" s="8">
        <f>SUM(F14,H14,L14,J14,N14)</f>
        <v>120</v>
      </c>
      <c r="P14" s="7">
        <f>ROW(B14)-10</f>
        <v>4</v>
      </c>
    </row>
    <row r="15" spans="1:16" x14ac:dyDescent="0.3">
      <c r="A15" s="5">
        <v>5</v>
      </c>
      <c r="B15" s="6" t="s">
        <v>523</v>
      </c>
      <c r="C15" s="6" t="s">
        <v>522</v>
      </c>
      <c r="D15" s="6" t="s">
        <v>108</v>
      </c>
      <c r="E15" s="7"/>
      <c r="F15" s="7">
        <f>IF(E15=0,,($E$9-E15)*$E$7*100/$E$9)</f>
        <v>0</v>
      </c>
      <c r="G15" s="7"/>
      <c r="H15" s="7">
        <f>IF(G15=0,,($E$9-G15)*$E$7*100/$E$9)</f>
        <v>0</v>
      </c>
      <c r="I15" s="7"/>
      <c r="J15" s="7">
        <f>IF(I15=0,,($I$9-I15)*$I$7*100/$I$9)</f>
        <v>0</v>
      </c>
      <c r="K15" s="7">
        <v>5</v>
      </c>
      <c r="L15" s="7">
        <f>120/2</f>
        <v>60</v>
      </c>
      <c r="M15" s="7"/>
      <c r="N15" s="7">
        <f>IF(M15=0,,($M$9-M15)*$M$7*100/$M$9)</f>
        <v>0</v>
      </c>
      <c r="O15" s="8">
        <f>SUM(F15,H15,L15,J15,N15)</f>
        <v>60</v>
      </c>
      <c r="P15" s="7">
        <f>ROW(B15)-10</f>
        <v>5</v>
      </c>
    </row>
    <row r="16" spans="1:16" x14ac:dyDescent="0.3">
      <c r="A16" s="5">
        <v>6</v>
      </c>
      <c r="B16" s="6"/>
      <c r="C16" s="6"/>
      <c r="D16" s="6"/>
      <c r="E16" s="7"/>
      <c r="F16" s="7">
        <f t="shared" ref="F16:F17" si="0">IF(E16=0,,($E$9-E16)*$E$7*100/$E$9)</f>
        <v>0</v>
      </c>
      <c r="G16" s="7"/>
      <c r="H16" s="7">
        <f t="shared" ref="H16:H17" si="1">IF(G16=0,,($E$9-G16)*$E$7*100/$E$9)</f>
        <v>0</v>
      </c>
      <c r="I16" s="7"/>
      <c r="J16" s="7">
        <f t="shared" ref="J16:J33" si="2">IF(I16=0,,($I$9-I16)*$I$7*100/$I$9)</f>
        <v>0</v>
      </c>
      <c r="K16" s="7"/>
      <c r="L16" s="7">
        <f t="shared" ref="L16:L33" si="3">IF(K16=0,,($K$9-K16)*$K$7*100/$K$9)</f>
        <v>0</v>
      </c>
      <c r="M16" s="7"/>
      <c r="N16" s="7">
        <f t="shared" ref="N16:N33" si="4">IF(M16=0,,($M$9-M16)*$M$7*100/$M$9)</f>
        <v>0</v>
      </c>
      <c r="O16" s="8">
        <f t="shared" ref="O16:O33" si="5">SUM(F16,H16,L16,J16,N16)</f>
        <v>0</v>
      </c>
      <c r="P16" s="7">
        <f t="shared" ref="P16:P17" si="6">ROW(B16)-10</f>
        <v>6</v>
      </c>
    </row>
    <row r="17" spans="1:16" x14ac:dyDescent="0.3">
      <c r="A17" s="5">
        <v>7</v>
      </c>
      <c r="B17" s="6"/>
      <c r="C17" s="6"/>
      <c r="D17" s="6"/>
      <c r="E17" s="7"/>
      <c r="F17" s="7">
        <f t="shared" si="0"/>
        <v>0</v>
      </c>
      <c r="G17" s="7"/>
      <c r="H17" s="7">
        <f t="shared" si="1"/>
        <v>0</v>
      </c>
      <c r="I17" s="7"/>
      <c r="J17" s="7">
        <f t="shared" si="2"/>
        <v>0</v>
      </c>
      <c r="K17" s="7"/>
      <c r="L17" s="7">
        <f t="shared" si="3"/>
        <v>0</v>
      </c>
      <c r="M17" s="7"/>
      <c r="N17" s="7">
        <f t="shared" si="4"/>
        <v>0</v>
      </c>
      <c r="O17" s="8">
        <f t="shared" si="5"/>
        <v>0</v>
      </c>
      <c r="P17" s="7">
        <f t="shared" si="6"/>
        <v>7</v>
      </c>
    </row>
    <row r="18" spans="1:16" x14ac:dyDescent="0.3">
      <c r="A18" s="5"/>
      <c r="B18" s="6"/>
      <c r="C18" s="6"/>
      <c r="D18" s="6"/>
      <c r="E18" s="6"/>
      <c r="F18" s="6">
        <f t="shared" ref="F18:F33" si="7">IF(E18=0,,$E$9+1-E18)</f>
        <v>0</v>
      </c>
      <c r="G18" s="6"/>
      <c r="H18" s="6">
        <f t="shared" ref="H18:H33" si="8">IF(G18=0,,$E$9+1-G18)</f>
        <v>0</v>
      </c>
      <c r="I18" s="6"/>
      <c r="J18" s="7">
        <f t="shared" si="2"/>
        <v>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0</v>
      </c>
      <c r="P18" s="6"/>
    </row>
    <row r="19" spans="1:16" x14ac:dyDescent="0.3">
      <c r="A19" s="5"/>
      <c r="B19" s="6"/>
      <c r="C19" s="6"/>
      <c r="D19" s="6"/>
      <c r="E19" s="6"/>
      <c r="F19" s="6">
        <f t="shared" si="7"/>
        <v>0</v>
      </c>
      <c r="G19" s="6"/>
      <c r="H19" s="6">
        <f t="shared" si="8"/>
        <v>0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8">
        <f t="shared" si="5"/>
        <v>0</v>
      </c>
      <c r="P19" s="6"/>
    </row>
    <row r="20" spans="1:16" x14ac:dyDescent="0.3">
      <c r="A20" s="5"/>
      <c r="B20" s="6"/>
      <c r="C20" s="6"/>
      <c r="D20" s="6"/>
      <c r="E20" s="6"/>
      <c r="F20" s="6">
        <f t="shared" si="7"/>
        <v>0</v>
      </c>
      <c r="G20" s="6"/>
      <c r="H20" s="6">
        <f t="shared" si="8"/>
        <v>0</v>
      </c>
      <c r="I20" s="6"/>
      <c r="J20" s="7">
        <f t="shared" si="2"/>
        <v>0</v>
      </c>
      <c r="K20" s="6"/>
      <c r="L20" s="7">
        <f t="shared" si="3"/>
        <v>0</v>
      </c>
      <c r="M20" s="6"/>
      <c r="N20" s="7">
        <f t="shared" si="4"/>
        <v>0</v>
      </c>
      <c r="O20" s="8">
        <f t="shared" si="5"/>
        <v>0</v>
      </c>
      <c r="P20" s="6"/>
    </row>
    <row r="21" spans="1:16" x14ac:dyDescent="0.3">
      <c r="A21" s="5"/>
      <c r="B21" s="6"/>
      <c r="C21" s="6"/>
      <c r="D21" s="6"/>
      <c r="E21" s="6"/>
      <c r="F21" s="6">
        <f t="shared" si="7"/>
        <v>0</v>
      </c>
      <c r="G21" s="6"/>
      <c r="H21" s="6">
        <f t="shared" si="8"/>
        <v>0</v>
      </c>
      <c r="I21" s="6"/>
      <c r="J21" s="7">
        <f t="shared" si="2"/>
        <v>0</v>
      </c>
      <c r="K21" s="6"/>
      <c r="L21" s="7">
        <f t="shared" si="3"/>
        <v>0</v>
      </c>
      <c r="M21" s="6"/>
      <c r="N21" s="7">
        <f t="shared" si="4"/>
        <v>0</v>
      </c>
      <c r="O21" s="8">
        <f t="shared" si="5"/>
        <v>0</v>
      </c>
      <c r="P21" s="6"/>
    </row>
    <row r="22" spans="1:16" x14ac:dyDescent="0.3">
      <c r="A22" s="5"/>
      <c r="B22" s="6"/>
      <c r="C22" s="6"/>
      <c r="D22" s="6"/>
      <c r="E22" s="6"/>
      <c r="F22" s="6">
        <f t="shared" si="7"/>
        <v>0</v>
      </c>
      <c r="G22" s="6"/>
      <c r="H22" s="6">
        <f t="shared" si="8"/>
        <v>0</v>
      </c>
      <c r="I22" s="6"/>
      <c r="J22" s="7">
        <f t="shared" si="2"/>
        <v>0</v>
      </c>
      <c r="K22" s="6"/>
      <c r="L22" s="7">
        <f t="shared" si="3"/>
        <v>0</v>
      </c>
      <c r="M22" s="6"/>
      <c r="N22" s="7">
        <f t="shared" si="4"/>
        <v>0</v>
      </c>
      <c r="O22" s="8">
        <f t="shared" si="5"/>
        <v>0</v>
      </c>
      <c r="P22" s="6"/>
    </row>
    <row r="23" spans="1:16" x14ac:dyDescent="0.3">
      <c r="A23" s="6"/>
      <c r="B23" s="6"/>
      <c r="C23" s="6"/>
      <c r="D23" s="6"/>
      <c r="E23" s="6"/>
      <c r="F23" s="6">
        <f t="shared" si="7"/>
        <v>0</v>
      </c>
      <c r="G23" s="6"/>
      <c r="H23" s="6">
        <f t="shared" si="8"/>
        <v>0</v>
      </c>
      <c r="I23" s="6"/>
      <c r="J23" s="7">
        <f t="shared" si="2"/>
        <v>0</v>
      </c>
      <c r="K23" s="6"/>
      <c r="L23" s="7">
        <f t="shared" si="3"/>
        <v>0</v>
      </c>
      <c r="M23" s="6"/>
      <c r="N23" s="7">
        <f t="shared" si="4"/>
        <v>0</v>
      </c>
      <c r="O23" s="8">
        <f t="shared" si="5"/>
        <v>0</v>
      </c>
      <c r="P23" s="6"/>
    </row>
    <row r="24" spans="1:16" x14ac:dyDescent="0.3">
      <c r="A24" s="5"/>
      <c r="B24" s="6"/>
      <c r="C24" s="6"/>
      <c r="D24" s="6"/>
      <c r="E24" s="6"/>
      <c r="F24" s="6">
        <f t="shared" si="7"/>
        <v>0</v>
      </c>
      <c r="G24" s="6"/>
      <c r="H24" s="6">
        <f t="shared" si="8"/>
        <v>0</v>
      </c>
      <c r="I24" s="6"/>
      <c r="J24" s="7">
        <f t="shared" si="2"/>
        <v>0</v>
      </c>
      <c r="K24" s="6"/>
      <c r="L24" s="7">
        <f t="shared" si="3"/>
        <v>0</v>
      </c>
      <c r="M24" s="6"/>
      <c r="N24" s="7">
        <f t="shared" si="4"/>
        <v>0</v>
      </c>
      <c r="O24" s="8">
        <f t="shared" si="5"/>
        <v>0</v>
      </c>
      <c r="P24" s="6"/>
    </row>
    <row r="25" spans="1:16" x14ac:dyDescent="0.3">
      <c r="A25" s="5"/>
      <c r="B25" s="6"/>
      <c r="C25" s="6"/>
      <c r="D25" s="6"/>
      <c r="E25" s="6"/>
      <c r="F25" s="6">
        <f t="shared" si="7"/>
        <v>0</v>
      </c>
      <c r="G25" s="6"/>
      <c r="H25" s="6">
        <f t="shared" si="8"/>
        <v>0</v>
      </c>
      <c r="I25" s="6"/>
      <c r="J25" s="7">
        <f t="shared" si="2"/>
        <v>0</v>
      </c>
      <c r="K25" s="6"/>
      <c r="L25" s="7">
        <f t="shared" si="3"/>
        <v>0</v>
      </c>
      <c r="M25" s="6"/>
      <c r="N25" s="7">
        <f t="shared" si="4"/>
        <v>0</v>
      </c>
      <c r="O25" s="8">
        <f t="shared" si="5"/>
        <v>0</v>
      </c>
      <c r="P25" s="6"/>
    </row>
    <row r="26" spans="1:16" x14ac:dyDescent="0.3">
      <c r="A26" s="5"/>
      <c r="B26" s="6"/>
      <c r="C26" s="6"/>
      <c r="D26" s="6"/>
      <c r="E26" s="6"/>
      <c r="F26" s="6">
        <f t="shared" si="7"/>
        <v>0</v>
      </c>
      <c r="G26" s="6"/>
      <c r="H26" s="6">
        <f t="shared" si="8"/>
        <v>0</v>
      </c>
      <c r="I26" s="6"/>
      <c r="J26" s="7">
        <f t="shared" si="2"/>
        <v>0</v>
      </c>
      <c r="K26" s="6"/>
      <c r="L26" s="7">
        <f t="shared" si="3"/>
        <v>0</v>
      </c>
      <c r="M26" s="6"/>
      <c r="N26" s="7">
        <f t="shared" si="4"/>
        <v>0</v>
      </c>
      <c r="O26" s="8">
        <f t="shared" si="5"/>
        <v>0</v>
      </c>
      <c r="P26" s="6"/>
    </row>
    <row r="27" spans="1:16" x14ac:dyDescent="0.3">
      <c r="A27" s="5"/>
      <c r="B27" s="6"/>
      <c r="C27" s="6"/>
      <c r="D27" s="6"/>
      <c r="E27" s="6"/>
      <c r="F27" s="6">
        <f t="shared" si="7"/>
        <v>0</v>
      </c>
      <c r="G27" s="6"/>
      <c r="H27" s="6">
        <f t="shared" si="8"/>
        <v>0</v>
      </c>
      <c r="I27" s="6"/>
      <c r="J27" s="7">
        <f t="shared" si="2"/>
        <v>0</v>
      </c>
      <c r="K27" s="6"/>
      <c r="L27" s="7">
        <f t="shared" si="3"/>
        <v>0</v>
      </c>
      <c r="M27" s="6"/>
      <c r="N27" s="7">
        <f t="shared" si="4"/>
        <v>0</v>
      </c>
      <c r="O27" s="8">
        <f t="shared" si="5"/>
        <v>0</v>
      </c>
      <c r="P27" s="6"/>
    </row>
    <row r="28" spans="1:16" x14ac:dyDescent="0.3">
      <c r="A28" s="5"/>
      <c r="B28" s="6"/>
      <c r="C28" s="6"/>
      <c r="D28" s="6"/>
      <c r="E28" s="6"/>
      <c r="F28" s="6">
        <f t="shared" si="7"/>
        <v>0</v>
      </c>
      <c r="G28" s="6"/>
      <c r="H28" s="6">
        <f t="shared" si="8"/>
        <v>0</v>
      </c>
      <c r="I28" s="6"/>
      <c r="J28" s="7">
        <f t="shared" si="2"/>
        <v>0</v>
      </c>
      <c r="K28" s="6"/>
      <c r="L28" s="7">
        <f t="shared" si="3"/>
        <v>0</v>
      </c>
      <c r="M28" s="6"/>
      <c r="N28" s="7">
        <f t="shared" si="4"/>
        <v>0</v>
      </c>
      <c r="O28" s="8">
        <f t="shared" si="5"/>
        <v>0</v>
      </c>
      <c r="P28" s="6"/>
    </row>
    <row r="29" spans="1:16" x14ac:dyDescent="0.3">
      <c r="A29" s="5"/>
      <c r="B29" s="6"/>
      <c r="C29" s="6"/>
      <c r="D29" s="6"/>
      <c r="E29" s="6"/>
      <c r="F29" s="6">
        <f t="shared" si="7"/>
        <v>0</v>
      </c>
      <c r="G29" s="6"/>
      <c r="H29" s="6">
        <f t="shared" si="8"/>
        <v>0</v>
      </c>
      <c r="I29" s="6"/>
      <c r="J29" s="7">
        <f t="shared" si="2"/>
        <v>0</v>
      </c>
      <c r="K29" s="6"/>
      <c r="L29" s="7">
        <f t="shared" si="3"/>
        <v>0</v>
      </c>
      <c r="M29" s="6"/>
      <c r="N29" s="7">
        <f t="shared" si="4"/>
        <v>0</v>
      </c>
      <c r="O29" s="8">
        <f t="shared" si="5"/>
        <v>0</v>
      </c>
      <c r="P29" s="6"/>
    </row>
    <row r="30" spans="1:16" x14ac:dyDescent="0.3">
      <c r="A30" s="5"/>
      <c r="B30" s="6"/>
      <c r="C30" s="6"/>
      <c r="D30" s="6"/>
      <c r="E30" s="6"/>
      <c r="F30" s="6">
        <f t="shared" si="7"/>
        <v>0</v>
      </c>
      <c r="G30" s="6"/>
      <c r="H30" s="6">
        <f t="shared" si="8"/>
        <v>0</v>
      </c>
      <c r="I30" s="6"/>
      <c r="J30" s="7">
        <f t="shared" si="2"/>
        <v>0</v>
      </c>
      <c r="K30" s="6"/>
      <c r="L30" s="7">
        <f t="shared" si="3"/>
        <v>0</v>
      </c>
      <c r="M30" s="6"/>
      <c r="N30" s="7">
        <f t="shared" si="4"/>
        <v>0</v>
      </c>
      <c r="O30" s="8">
        <f t="shared" si="5"/>
        <v>0</v>
      </c>
      <c r="P30" s="6"/>
    </row>
    <row r="31" spans="1:16" x14ac:dyDescent="0.3">
      <c r="A31" s="5"/>
      <c r="B31" s="6"/>
      <c r="C31" s="6"/>
      <c r="D31" s="6"/>
      <c r="E31" s="6"/>
      <c r="F31" s="6">
        <f t="shared" si="7"/>
        <v>0</v>
      </c>
      <c r="G31" s="6"/>
      <c r="H31" s="6">
        <f t="shared" si="8"/>
        <v>0</v>
      </c>
      <c r="I31" s="6"/>
      <c r="J31" s="7">
        <f t="shared" si="2"/>
        <v>0</v>
      </c>
      <c r="K31" s="6"/>
      <c r="L31" s="7">
        <f t="shared" si="3"/>
        <v>0</v>
      </c>
      <c r="M31" s="6"/>
      <c r="N31" s="7">
        <f t="shared" si="4"/>
        <v>0</v>
      </c>
      <c r="O31" s="8">
        <f t="shared" si="5"/>
        <v>0</v>
      </c>
      <c r="P31" s="6"/>
    </row>
    <row r="32" spans="1:16" x14ac:dyDescent="0.3">
      <c r="A32" s="5"/>
      <c r="B32" s="6"/>
      <c r="C32" s="6"/>
      <c r="D32" s="6"/>
      <c r="E32" s="6"/>
      <c r="F32" s="6">
        <f t="shared" si="7"/>
        <v>0</v>
      </c>
      <c r="G32" s="6"/>
      <c r="H32" s="6">
        <f t="shared" si="8"/>
        <v>0</v>
      </c>
      <c r="I32" s="6"/>
      <c r="J32" s="7">
        <f t="shared" si="2"/>
        <v>0</v>
      </c>
      <c r="K32" s="6"/>
      <c r="L32" s="7">
        <f t="shared" si="3"/>
        <v>0</v>
      </c>
      <c r="M32" s="6"/>
      <c r="N32" s="7">
        <f t="shared" si="4"/>
        <v>0</v>
      </c>
      <c r="O32" s="8">
        <f t="shared" si="5"/>
        <v>0</v>
      </c>
      <c r="P32" s="6"/>
    </row>
    <row r="33" spans="1:16" x14ac:dyDescent="0.3">
      <c r="A33" s="5"/>
      <c r="B33" s="6"/>
      <c r="C33" s="6"/>
      <c r="D33" s="6"/>
      <c r="E33" s="6"/>
      <c r="F33" s="6">
        <f t="shared" si="7"/>
        <v>0</v>
      </c>
      <c r="G33" s="6"/>
      <c r="H33" s="6">
        <f t="shared" si="8"/>
        <v>0</v>
      </c>
      <c r="I33" s="6"/>
      <c r="J33" s="7">
        <f t="shared" si="2"/>
        <v>0</v>
      </c>
      <c r="K33" s="6"/>
      <c r="L33" s="7">
        <f t="shared" si="3"/>
        <v>0</v>
      </c>
      <c r="M33" s="6"/>
      <c r="N33" s="7">
        <f t="shared" si="4"/>
        <v>0</v>
      </c>
      <c r="O33" s="8">
        <f t="shared" si="5"/>
        <v>0</v>
      </c>
      <c r="P33" s="6"/>
    </row>
    <row r="34" spans="1:16" x14ac:dyDescent="0.3">
      <c r="A34" s="29" t="s">
        <v>18</v>
      </c>
      <c r="B34" s="29"/>
      <c r="C34" s="30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5</v>
      </c>
      <c r="M34">
        <f>COUNTA(M11:M33)</f>
        <v>1</v>
      </c>
    </row>
  </sheetData>
  <sortState xmlns:xlrd2="http://schemas.microsoft.com/office/spreadsheetml/2017/richdata2" ref="A11:P15">
    <sortCondition descending="1" ref="O11:O15"/>
  </sortState>
  <mergeCells count="22">
    <mergeCell ref="M9:N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M7:N7"/>
    <mergeCell ref="E8:F8"/>
    <mergeCell ref="G8:H8"/>
    <mergeCell ref="I8:J8"/>
    <mergeCell ref="K8:L8"/>
    <mergeCell ref="M8:N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32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Q13" sqref="Q1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15.44140625" bestFit="1" customWidth="1"/>
    <col min="19" max="19" width="18.33203125" bestFit="1" customWidth="1"/>
    <col min="20" max="20" width="19.6640625" bestFit="1" customWidth="1"/>
  </cols>
  <sheetData>
    <row r="1" spans="1:20" ht="31.2" x14ac:dyDescent="0.6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0" x14ac:dyDescent="0.3">
      <c r="E2" s="33" t="s">
        <v>36</v>
      </c>
      <c r="F2" s="33"/>
      <c r="G2" s="15">
        <f>COUNTA(B11:B31)</f>
        <v>15</v>
      </c>
    </row>
    <row r="3" spans="1:20" x14ac:dyDescent="0.3">
      <c r="B3" s="2"/>
      <c r="E3" s="33" t="s">
        <v>38</v>
      </c>
      <c r="F3" s="33"/>
      <c r="G3" s="15">
        <f>COUNTA(E8:P8)</f>
        <v>6</v>
      </c>
    </row>
    <row r="4" spans="1:20" x14ac:dyDescent="0.3">
      <c r="B4" s="2"/>
      <c r="C4" s="3"/>
    </row>
    <row r="6" spans="1:20" x14ac:dyDescent="0.3">
      <c r="D6" s="1" t="s">
        <v>0</v>
      </c>
      <c r="E6" s="28" t="s">
        <v>59</v>
      </c>
      <c r="F6" s="28"/>
      <c r="G6" s="28" t="s">
        <v>44</v>
      </c>
      <c r="H6" s="28"/>
      <c r="I6" s="28" t="s">
        <v>62</v>
      </c>
      <c r="J6" s="28"/>
      <c r="K6" s="28" t="s">
        <v>572</v>
      </c>
      <c r="L6" s="28"/>
      <c r="M6" s="28" t="s">
        <v>61</v>
      </c>
      <c r="N6" s="28"/>
      <c r="O6" s="28" t="s">
        <v>60</v>
      </c>
      <c r="P6" s="28"/>
    </row>
    <row r="7" spans="1:20" x14ac:dyDescent="0.3">
      <c r="D7" s="1" t="s">
        <v>10</v>
      </c>
      <c r="E7" s="25">
        <v>5</v>
      </c>
      <c r="F7" s="26"/>
      <c r="G7" s="25">
        <v>5</v>
      </c>
      <c r="H7" s="26"/>
      <c r="I7" s="25">
        <v>3</v>
      </c>
      <c r="J7" s="26"/>
      <c r="K7" s="25">
        <v>2</v>
      </c>
      <c r="L7" s="26"/>
      <c r="M7" s="25">
        <v>5</v>
      </c>
      <c r="N7" s="26"/>
      <c r="O7" s="25">
        <v>6</v>
      </c>
      <c r="P7" s="26"/>
    </row>
    <row r="8" spans="1:20" x14ac:dyDescent="0.3">
      <c r="D8" s="1" t="s">
        <v>1</v>
      </c>
      <c r="E8" s="31">
        <v>45220</v>
      </c>
      <c r="F8" s="31"/>
      <c r="G8" s="31">
        <v>45374</v>
      </c>
      <c r="H8" s="31"/>
      <c r="I8" s="31">
        <v>44636</v>
      </c>
      <c r="J8" s="31"/>
      <c r="K8" s="31">
        <v>45389</v>
      </c>
      <c r="L8" s="31"/>
      <c r="M8" s="31">
        <v>45409</v>
      </c>
      <c r="N8" s="31"/>
      <c r="O8" s="31">
        <v>45444</v>
      </c>
      <c r="P8" s="31"/>
      <c r="R8" s="15"/>
    </row>
    <row r="9" spans="1:20" x14ac:dyDescent="0.3">
      <c r="D9" s="1" t="s">
        <v>2</v>
      </c>
      <c r="E9" s="28">
        <v>118</v>
      </c>
      <c r="F9" s="28"/>
      <c r="G9" s="28">
        <v>92</v>
      </c>
      <c r="H9" s="28"/>
      <c r="I9" s="28">
        <v>14</v>
      </c>
      <c r="J9" s="28"/>
      <c r="K9" s="28">
        <v>8</v>
      </c>
      <c r="L9" s="28"/>
      <c r="M9" s="28">
        <v>86</v>
      </c>
      <c r="N9" s="28"/>
      <c r="O9" s="28">
        <f>30+66</f>
        <v>96</v>
      </c>
      <c r="P9" s="28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39</v>
      </c>
      <c r="S10" s="1" t="s">
        <v>9</v>
      </c>
      <c r="T10" s="1" t="s">
        <v>41</v>
      </c>
    </row>
    <row r="11" spans="1:20" x14ac:dyDescent="0.3">
      <c r="A11" s="5">
        <f t="shared" ref="A11:A25" si="0">S11</f>
        <v>1</v>
      </c>
      <c r="B11" s="6" t="s">
        <v>323</v>
      </c>
      <c r="C11" s="6" t="s">
        <v>324</v>
      </c>
      <c r="D11" s="6" t="s">
        <v>325</v>
      </c>
      <c r="E11" s="6">
        <v>53</v>
      </c>
      <c r="F11" s="20">
        <f t="shared" ref="F11:F25" si="1">IF(E11=0,,($E$9-E11)*$E$7*100/$E$9)</f>
        <v>275.42372881355931</v>
      </c>
      <c r="G11" s="6">
        <v>38</v>
      </c>
      <c r="H11" s="20">
        <f t="shared" ref="H11:H25" si="2">IF(G11=0,,($G$9-G11)*$G$7*100/$G$9)</f>
        <v>293.47826086956519</v>
      </c>
      <c r="I11" s="6">
        <v>2</v>
      </c>
      <c r="J11" s="7">
        <f t="shared" ref="J11:J23" si="3">IF(I11=0,,($I$9-I11)*$I$7*100/$I$9)</f>
        <v>257.14285714285717</v>
      </c>
      <c r="K11" s="6"/>
      <c r="L11" s="7">
        <f t="shared" ref="L11:L25" si="4">IF(K11=0,,($K$9-K11)*$K$7*100/$K$9)</f>
        <v>0</v>
      </c>
      <c r="M11" s="6">
        <v>7</v>
      </c>
      <c r="N11" s="20">
        <f t="shared" ref="N11:N25" si="5">IF(M11=0,,($M$9-M11)*$M$7*100/$M$9)</f>
        <v>459.30232558139534</v>
      </c>
      <c r="O11" s="6">
        <v>21</v>
      </c>
      <c r="P11" s="20">
        <f t="shared" ref="P11:P25" si="6">IF(O11=0,,($O$9-O11)*$O$7*100/$O$9)</f>
        <v>468.75</v>
      </c>
      <c r="Q11" s="8">
        <f>F11+H11+N11+P11</f>
        <v>1496.9543152645199</v>
      </c>
      <c r="R11" s="6">
        <f t="shared" ref="R11:R25" si="7">COUNTA(E11,O11,G11,I11,M11)</f>
        <v>5</v>
      </c>
      <c r="S11" s="6">
        <f t="shared" ref="S11:S25" si="8">ROW(B11)-10</f>
        <v>1</v>
      </c>
      <c r="T11" s="17">
        <f t="shared" ref="T11:T25" si="9">R11/$G$3</f>
        <v>0.83333333333333337</v>
      </c>
    </row>
    <row r="12" spans="1:20" x14ac:dyDescent="0.3">
      <c r="A12" s="5">
        <f t="shared" si="0"/>
        <v>2</v>
      </c>
      <c r="B12" s="6" t="s">
        <v>320</v>
      </c>
      <c r="C12" s="6" t="s">
        <v>321</v>
      </c>
      <c r="D12" s="6" t="s">
        <v>322</v>
      </c>
      <c r="E12" s="6">
        <v>24</v>
      </c>
      <c r="F12" s="20">
        <f t="shared" si="1"/>
        <v>398.30508474576271</v>
      </c>
      <c r="G12" s="6">
        <v>45</v>
      </c>
      <c r="H12" s="20">
        <f t="shared" si="2"/>
        <v>255.43478260869566</v>
      </c>
      <c r="I12" s="6">
        <v>3</v>
      </c>
      <c r="J12" s="7">
        <f t="shared" si="3"/>
        <v>235.71428571428572</v>
      </c>
      <c r="K12" s="6"/>
      <c r="L12" s="7">
        <f t="shared" si="4"/>
        <v>0</v>
      </c>
      <c r="M12" s="6">
        <v>18</v>
      </c>
      <c r="N12" s="20">
        <f t="shared" si="5"/>
        <v>395.3488372093023</v>
      </c>
      <c r="O12" s="6">
        <f>30+13</f>
        <v>43</v>
      </c>
      <c r="P12" s="20">
        <f t="shared" si="6"/>
        <v>331.25</v>
      </c>
      <c r="Q12" s="8">
        <f>P12+N12+H12+F12</f>
        <v>1380.3387045637605</v>
      </c>
      <c r="R12" s="6">
        <f t="shared" si="7"/>
        <v>5</v>
      </c>
      <c r="S12" s="6">
        <f t="shared" si="8"/>
        <v>2</v>
      </c>
      <c r="T12" s="17">
        <f t="shared" si="9"/>
        <v>0.83333333333333337</v>
      </c>
    </row>
    <row r="13" spans="1:20" x14ac:dyDescent="0.3">
      <c r="A13" s="5">
        <f t="shared" si="0"/>
        <v>3</v>
      </c>
      <c r="B13" s="6" t="s">
        <v>326</v>
      </c>
      <c r="C13" s="6" t="s">
        <v>327</v>
      </c>
      <c r="D13" s="6" t="s">
        <v>328</v>
      </c>
      <c r="E13" s="6">
        <v>58</v>
      </c>
      <c r="F13" s="7">
        <f t="shared" si="1"/>
        <v>254.23728813559322</v>
      </c>
      <c r="G13" s="6">
        <v>21</v>
      </c>
      <c r="H13" s="20">
        <f t="shared" si="2"/>
        <v>385.86956521739131</v>
      </c>
      <c r="I13" s="6">
        <v>1</v>
      </c>
      <c r="J13" s="20">
        <f t="shared" si="3"/>
        <v>278.57142857142856</v>
      </c>
      <c r="K13" s="6"/>
      <c r="L13" s="7">
        <f t="shared" si="4"/>
        <v>0</v>
      </c>
      <c r="M13" s="6">
        <v>31</v>
      </c>
      <c r="N13" s="20">
        <f t="shared" si="5"/>
        <v>319.76744186046511</v>
      </c>
      <c r="O13" s="6">
        <f>30+7</f>
        <v>37</v>
      </c>
      <c r="P13" s="20">
        <f t="shared" si="6"/>
        <v>368.75</v>
      </c>
      <c r="Q13" s="8">
        <f>P13+N13+J13+H13</f>
        <v>1352.9584356492851</v>
      </c>
      <c r="R13" s="6">
        <f t="shared" si="7"/>
        <v>5</v>
      </c>
      <c r="S13" s="6">
        <f t="shared" si="8"/>
        <v>3</v>
      </c>
      <c r="T13" s="17">
        <f t="shared" si="9"/>
        <v>0.83333333333333337</v>
      </c>
    </row>
    <row r="14" spans="1:20" x14ac:dyDescent="0.3">
      <c r="A14" s="5">
        <f t="shared" si="0"/>
        <v>4</v>
      </c>
      <c r="B14" s="6" t="s">
        <v>329</v>
      </c>
      <c r="C14" s="6" t="s">
        <v>330</v>
      </c>
      <c r="D14" s="6" t="s">
        <v>331</v>
      </c>
      <c r="E14" s="6">
        <v>80</v>
      </c>
      <c r="F14" s="7">
        <f t="shared" si="1"/>
        <v>161.01694915254237</v>
      </c>
      <c r="G14" s="6">
        <v>48</v>
      </c>
      <c r="H14" s="7">
        <f t="shared" si="2"/>
        <v>239.13043478260869</v>
      </c>
      <c r="I14" s="6">
        <v>6</v>
      </c>
      <c r="J14" s="7">
        <f t="shared" si="3"/>
        <v>171.42857142857142</v>
      </c>
      <c r="K14" s="6">
        <v>1</v>
      </c>
      <c r="L14" s="7">
        <f t="shared" si="4"/>
        <v>175</v>
      </c>
      <c r="M14" s="6">
        <v>77</v>
      </c>
      <c r="N14" s="7">
        <f t="shared" si="5"/>
        <v>52.325581395348834</v>
      </c>
      <c r="O14" s="6"/>
      <c r="P14" s="7">
        <f t="shared" si="6"/>
        <v>0</v>
      </c>
      <c r="Q14" s="8">
        <f>F14+H14+J14+L14</f>
        <v>746.57595536372253</v>
      </c>
      <c r="R14" s="6">
        <f t="shared" si="7"/>
        <v>4</v>
      </c>
      <c r="S14" s="6">
        <f t="shared" si="8"/>
        <v>4</v>
      </c>
      <c r="T14" s="17">
        <f t="shared" si="9"/>
        <v>0.66666666666666663</v>
      </c>
    </row>
    <row r="15" spans="1:20" x14ac:dyDescent="0.3">
      <c r="A15" s="5">
        <f t="shared" si="0"/>
        <v>5</v>
      </c>
      <c r="B15" s="6" t="s">
        <v>340</v>
      </c>
      <c r="C15" s="6" t="s">
        <v>341</v>
      </c>
      <c r="D15" s="6" t="s">
        <v>342</v>
      </c>
      <c r="E15" s="6">
        <v>62</v>
      </c>
      <c r="F15" s="7">
        <f t="shared" si="1"/>
        <v>237.28813559322035</v>
      </c>
      <c r="G15" s="6">
        <v>72</v>
      </c>
      <c r="H15" s="7">
        <f t="shared" si="2"/>
        <v>108.69565217391305</v>
      </c>
      <c r="I15" s="6">
        <v>3</v>
      </c>
      <c r="J15" s="7">
        <f t="shared" si="3"/>
        <v>235.71428571428572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8">
        <f>F15+H15+J15+N15</f>
        <v>581.6980734814191</v>
      </c>
      <c r="R15" s="6">
        <f t="shared" si="7"/>
        <v>3</v>
      </c>
      <c r="S15" s="6">
        <f t="shared" si="8"/>
        <v>5</v>
      </c>
      <c r="T15" s="17">
        <f t="shared" si="9"/>
        <v>0.5</v>
      </c>
    </row>
    <row r="16" spans="1:20" x14ac:dyDescent="0.3">
      <c r="A16" s="5">
        <f t="shared" si="0"/>
        <v>6</v>
      </c>
      <c r="B16" s="6" t="s">
        <v>499</v>
      </c>
      <c r="C16" s="6" t="s">
        <v>500</v>
      </c>
      <c r="D16" s="6" t="s">
        <v>328</v>
      </c>
      <c r="E16" s="6"/>
      <c r="F16" s="7">
        <f t="shared" si="1"/>
        <v>0</v>
      </c>
      <c r="G16" s="6">
        <v>31</v>
      </c>
      <c r="H16" s="7">
        <f t="shared" si="2"/>
        <v>331.52173913043481</v>
      </c>
      <c r="I16" s="6">
        <v>5</v>
      </c>
      <c r="J16" s="7">
        <f t="shared" si="3"/>
        <v>192.85714285714286</v>
      </c>
      <c r="K16" s="6"/>
      <c r="L16" s="7">
        <f t="shared" si="4"/>
        <v>0</v>
      </c>
      <c r="M16" s="6">
        <v>80</v>
      </c>
      <c r="N16" s="7">
        <f t="shared" si="5"/>
        <v>34.883720930232556</v>
      </c>
      <c r="O16" s="6">
        <f>30+38</f>
        <v>68</v>
      </c>
      <c r="P16" s="7">
        <f t="shared" si="6"/>
        <v>175</v>
      </c>
      <c r="Q16" s="8">
        <f>F16+H16+J16+N16</f>
        <v>559.26260291781023</v>
      </c>
      <c r="R16" s="6">
        <f t="shared" si="7"/>
        <v>4</v>
      </c>
      <c r="S16" s="6">
        <f t="shared" si="8"/>
        <v>6</v>
      </c>
      <c r="T16" s="17">
        <f t="shared" si="9"/>
        <v>0.66666666666666663</v>
      </c>
    </row>
    <row r="17" spans="1:20" x14ac:dyDescent="0.3">
      <c r="A17" s="5">
        <f t="shared" si="0"/>
        <v>7</v>
      </c>
      <c r="B17" s="6" t="s">
        <v>502</v>
      </c>
      <c r="C17" s="6" t="s">
        <v>503</v>
      </c>
      <c r="D17" s="6" t="s">
        <v>331</v>
      </c>
      <c r="E17" s="6"/>
      <c r="F17" s="7">
        <f t="shared" si="1"/>
        <v>0</v>
      </c>
      <c r="G17" s="6"/>
      <c r="H17" s="7">
        <f t="shared" si="2"/>
        <v>0</v>
      </c>
      <c r="I17" s="6">
        <v>8</v>
      </c>
      <c r="J17" s="7">
        <f t="shared" si="3"/>
        <v>128.57142857142858</v>
      </c>
      <c r="K17" s="6">
        <v>2</v>
      </c>
      <c r="L17" s="7">
        <f t="shared" si="4"/>
        <v>150</v>
      </c>
      <c r="M17" s="6"/>
      <c r="N17" s="7">
        <f t="shared" si="5"/>
        <v>0</v>
      </c>
      <c r="O17" s="6"/>
      <c r="P17" s="7">
        <f t="shared" si="6"/>
        <v>0</v>
      </c>
      <c r="Q17" s="8">
        <f>F17+H17+J17+L17</f>
        <v>278.57142857142856</v>
      </c>
      <c r="R17" s="6">
        <f t="shared" si="7"/>
        <v>1</v>
      </c>
      <c r="S17" s="6">
        <f t="shared" si="8"/>
        <v>7</v>
      </c>
      <c r="T17" s="17">
        <f t="shared" si="9"/>
        <v>0.16666666666666666</v>
      </c>
    </row>
    <row r="18" spans="1:20" x14ac:dyDescent="0.3">
      <c r="A18" s="5">
        <f t="shared" si="0"/>
        <v>8</v>
      </c>
      <c r="B18" s="6" t="s">
        <v>501</v>
      </c>
      <c r="C18" s="6" t="s">
        <v>105</v>
      </c>
      <c r="D18" s="6" t="s">
        <v>334</v>
      </c>
      <c r="E18" s="6"/>
      <c r="F18" s="7">
        <f t="shared" si="1"/>
        <v>0</v>
      </c>
      <c r="G18" s="6"/>
      <c r="H18" s="7">
        <f t="shared" si="2"/>
        <v>0</v>
      </c>
      <c r="I18" s="6">
        <v>7</v>
      </c>
      <c r="J18" s="7">
        <f t="shared" si="3"/>
        <v>150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8">
        <f t="shared" ref="Q18:Q25" si="10">F18+H18+J18+N18</f>
        <v>150</v>
      </c>
      <c r="R18" s="6">
        <f t="shared" si="7"/>
        <v>1</v>
      </c>
      <c r="S18" s="6">
        <f t="shared" si="8"/>
        <v>8</v>
      </c>
      <c r="T18" s="17">
        <f t="shared" si="9"/>
        <v>0.16666666666666666</v>
      </c>
    </row>
    <row r="19" spans="1:20" x14ac:dyDescent="0.3">
      <c r="A19" s="5">
        <f t="shared" si="0"/>
        <v>9</v>
      </c>
      <c r="B19" s="6" t="s">
        <v>332</v>
      </c>
      <c r="C19" s="6" t="s">
        <v>333</v>
      </c>
      <c r="D19" s="6" t="s">
        <v>334</v>
      </c>
      <c r="E19" s="6">
        <v>105</v>
      </c>
      <c r="F19" s="7">
        <f t="shared" si="1"/>
        <v>55.084745762711862</v>
      </c>
      <c r="G19" s="6"/>
      <c r="H19" s="7">
        <f t="shared" si="2"/>
        <v>0</v>
      </c>
      <c r="I19" s="6">
        <v>10</v>
      </c>
      <c r="J19" s="7">
        <f t="shared" si="3"/>
        <v>85.714285714285708</v>
      </c>
      <c r="K19" s="6"/>
      <c r="L19" s="7">
        <f t="shared" si="4"/>
        <v>0</v>
      </c>
      <c r="M19" s="6"/>
      <c r="N19" s="7">
        <f t="shared" si="5"/>
        <v>0</v>
      </c>
      <c r="O19" s="6">
        <v>96</v>
      </c>
      <c r="P19" s="7">
        <f>6/2</f>
        <v>3</v>
      </c>
      <c r="Q19" s="8">
        <f t="shared" si="10"/>
        <v>140.79903147699758</v>
      </c>
      <c r="R19" s="6">
        <f t="shared" si="7"/>
        <v>3</v>
      </c>
      <c r="S19" s="6">
        <f t="shared" si="8"/>
        <v>9</v>
      </c>
      <c r="T19" s="17">
        <f t="shared" si="9"/>
        <v>0.5</v>
      </c>
    </row>
    <row r="20" spans="1:20" x14ac:dyDescent="0.3">
      <c r="A20" s="5">
        <f t="shared" si="0"/>
        <v>10</v>
      </c>
      <c r="B20" s="6" t="s">
        <v>504</v>
      </c>
      <c r="C20" s="6" t="s">
        <v>505</v>
      </c>
      <c r="D20" s="6" t="s">
        <v>117</v>
      </c>
      <c r="E20" s="6"/>
      <c r="F20" s="7">
        <f t="shared" si="1"/>
        <v>0</v>
      </c>
      <c r="G20" s="6"/>
      <c r="H20" s="7">
        <f t="shared" si="2"/>
        <v>0</v>
      </c>
      <c r="I20" s="6">
        <v>9</v>
      </c>
      <c r="J20" s="7">
        <f t="shared" si="3"/>
        <v>107.14285714285714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8">
        <f t="shared" si="10"/>
        <v>107.14285714285714</v>
      </c>
      <c r="R20" s="6">
        <f t="shared" si="7"/>
        <v>1</v>
      </c>
      <c r="S20" s="6">
        <f t="shared" si="8"/>
        <v>10</v>
      </c>
      <c r="T20" s="17">
        <f t="shared" si="9"/>
        <v>0.16666666666666666</v>
      </c>
    </row>
    <row r="21" spans="1:20" x14ac:dyDescent="0.3">
      <c r="A21" s="5">
        <f t="shared" si="0"/>
        <v>11</v>
      </c>
      <c r="B21" s="6" t="s">
        <v>335</v>
      </c>
      <c r="C21" s="6" t="s">
        <v>336</v>
      </c>
      <c r="D21" s="6" t="s">
        <v>337</v>
      </c>
      <c r="E21" s="6">
        <v>116</v>
      </c>
      <c r="F21" s="7">
        <f t="shared" si="1"/>
        <v>8.4745762711864412</v>
      </c>
      <c r="G21" s="6"/>
      <c r="H21" s="7">
        <f t="shared" si="2"/>
        <v>0</v>
      </c>
      <c r="I21" s="6">
        <v>11</v>
      </c>
      <c r="J21" s="7">
        <f t="shared" si="3"/>
        <v>64.285714285714292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8">
        <f t="shared" si="10"/>
        <v>72.760290556900728</v>
      </c>
      <c r="R21" s="6">
        <f t="shared" si="7"/>
        <v>2</v>
      </c>
      <c r="S21" s="6">
        <f t="shared" si="8"/>
        <v>11</v>
      </c>
      <c r="T21" s="17">
        <f t="shared" si="9"/>
        <v>0.33333333333333331</v>
      </c>
    </row>
    <row r="22" spans="1:20" x14ac:dyDescent="0.3">
      <c r="A22" s="5">
        <f t="shared" si="0"/>
        <v>12</v>
      </c>
      <c r="B22" s="6" t="s">
        <v>338</v>
      </c>
      <c r="C22" s="6" t="s">
        <v>339</v>
      </c>
      <c r="D22" s="6" t="s">
        <v>334</v>
      </c>
      <c r="E22" s="6">
        <v>117</v>
      </c>
      <c r="F22" s="7">
        <f t="shared" si="1"/>
        <v>4.2372881355932206</v>
      </c>
      <c r="G22" s="6"/>
      <c r="H22" s="7">
        <f t="shared" si="2"/>
        <v>0</v>
      </c>
      <c r="I22" s="6">
        <v>12</v>
      </c>
      <c r="J22" s="7">
        <f t="shared" si="3"/>
        <v>42.857142857142854</v>
      </c>
      <c r="K22" s="6"/>
      <c r="L22" s="7">
        <f t="shared" si="4"/>
        <v>0</v>
      </c>
      <c r="M22" s="6"/>
      <c r="N22" s="7">
        <f t="shared" si="5"/>
        <v>0</v>
      </c>
      <c r="O22" s="6">
        <f>30+55</f>
        <v>85</v>
      </c>
      <c r="P22" s="7">
        <f t="shared" si="6"/>
        <v>68.75</v>
      </c>
      <c r="Q22" s="8">
        <f t="shared" si="10"/>
        <v>47.094430992736072</v>
      </c>
      <c r="R22" s="6">
        <f t="shared" si="7"/>
        <v>3</v>
      </c>
      <c r="S22" s="6">
        <f t="shared" si="8"/>
        <v>12</v>
      </c>
      <c r="T22" s="17">
        <f t="shared" si="9"/>
        <v>0.5</v>
      </c>
    </row>
    <row r="23" spans="1:20" x14ac:dyDescent="0.3">
      <c r="A23" s="5">
        <f t="shared" si="0"/>
        <v>13</v>
      </c>
      <c r="B23" s="6" t="s">
        <v>508</v>
      </c>
      <c r="C23" s="6" t="s">
        <v>363</v>
      </c>
      <c r="D23" s="6" t="s">
        <v>509</v>
      </c>
      <c r="E23" s="6"/>
      <c r="F23" s="7">
        <f t="shared" si="1"/>
        <v>0</v>
      </c>
      <c r="G23" s="6"/>
      <c r="H23" s="7">
        <f t="shared" si="2"/>
        <v>0</v>
      </c>
      <c r="I23" s="6">
        <v>13</v>
      </c>
      <c r="J23" s="7">
        <f t="shared" si="3"/>
        <v>21.428571428571427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8">
        <f t="shared" si="10"/>
        <v>21.428571428571427</v>
      </c>
      <c r="R23" s="6">
        <f t="shared" si="7"/>
        <v>1</v>
      </c>
      <c r="S23" s="6">
        <f t="shared" si="8"/>
        <v>13</v>
      </c>
      <c r="T23" s="17">
        <f t="shared" si="9"/>
        <v>0.16666666666666666</v>
      </c>
    </row>
    <row r="24" spans="1:20" x14ac:dyDescent="0.3">
      <c r="A24" s="5">
        <f t="shared" si="0"/>
        <v>14</v>
      </c>
      <c r="B24" s="6" t="s">
        <v>506</v>
      </c>
      <c r="C24" s="6" t="s">
        <v>507</v>
      </c>
      <c r="D24" s="6" t="s">
        <v>331</v>
      </c>
      <c r="E24" s="6"/>
      <c r="F24" s="7">
        <f t="shared" si="1"/>
        <v>0</v>
      </c>
      <c r="G24" s="6"/>
      <c r="H24" s="7">
        <f t="shared" si="2"/>
        <v>0</v>
      </c>
      <c r="I24" s="6">
        <v>14</v>
      </c>
      <c r="J24" s="7">
        <f>21/2</f>
        <v>10.5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8">
        <f t="shared" si="10"/>
        <v>10.5</v>
      </c>
      <c r="R24" s="6">
        <f t="shared" si="7"/>
        <v>1</v>
      </c>
      <c r="S24" s="6">
        <f t="shared" si="8"/>
        <v>14</v>
      </c>
      <c r="T24" s="17">
        <f t="shared" si="9"/>
        <v>0.16666666666666666</v>
      </c>
    </row>
    <row r="25" spans="1:20" x14ac:dyDescent="0.3">
      <c r="A25" s="5">
        <f t="shared" si="0"/>
        <v>15</v>
      </c>
      <c r="B25" s="6" t="s">
        <v>573</v>
      </c>
      <c r="C25" s="6" t="s">
        <v>574</v>
      </c>
      <c r="D25" s="6" t="s">
        <v>205</v>
      </c>
      <c r="E25" s="6"/>
      <c r="F25" s="7">
        <f t="shared" si="1"/>
        <v>0</v>
      </c>
      <c r="G25" s="6"/>
      <c r="H25" s="7">
        <f t="shared" si="2"/>
        <v>0</v>
      </c>
      <c r="I25" s="6"/>
      <c r="J25" s="7">
        <f>IF(I25=0,,($I$9-I25)*$I$7*100/$I$9)</f>
        <v>0</v>
      </c>
      <c r="K25" s="6">
        <v>7</v>
      </c>
      <c r="L25" s="7">
        <f t="shared" si="4"/>
        <v>25</v>
      </c>
      <c r="M25" s="6"/>
      <c r="N25" s="7">
        <f t="shared" si="5"/>
        <v>0</v>
      </c>
      <c r="O25" s="6"/>
      <c r="P25" s="7">
        <f t="shared" si="6"/>
        <v>0</v>
      </c>
      <c r="Q25" s="8">
        <f t="shared" si="10"/>
        <v>0</v>
      </c>
      <c r="R25" s="6">
        <f t="shared" si="7"/>
        <v>0</v>
      </c>
      <c r="S25" s="6">
        <f t="shared" si="8"/>
        <v>15</v>
      </c>
      <c r="T25" s="17">
        <f t="shared" si="9"/>
        <v>0</v>
      </c>
    </row>
    <row r="26" spans="1:20" x14ac:dyDescent="0.3">
      <c r="A26" s="29" t="s">
        <v>18</v>
      </c>
      <c r="B26" s="29"/>
      <c r="C26" s="30"/>
      <c r="E26">
        <f>COUNTA(E11:E25)</f>
        <v>8</v>
      </c>
      <c r="G26">
        <f>COUNTA(G11:G25)</f>
        <v>6</v>
      </c>
      <c r="I26">
        <f>COUNTA(I11:I25)</f>
        <v>14</v>
      </c>
      <c r="K26">
        <f>COUNTA(K11:K25)</f>
        <v>3</v>
      </c>
      <c r="M26">
        <f>COUNTA(M11:M25)</f>
        <v>5</v>
      </c>
      <c r="O26">
        <f>COUNTA(O11:O25)</f>
        <v>6</v>
      </c>
    </row>
    <row r="27" spans="1:20" x14ac:dyDescent="0.3">
      <c r="A27" s="32" t="s">
        <v>40</v>
      </c>
      <c r="B27" s="32"/>
      <c r="C27" s="32"/>
      <c r="E27" s="16">
        <f>E26/$G$2</f>
        <v>0.53333333333333333</v>
      </c>
      <c r="G27" s="16">
        <f>G26/$G$2</f>
        <v>0.4</v>
      </c>
      <c r="I27" s="16">
        <f>I26/$G$2</f>
        <v>0.93333333333333335</v>
      </c>
      <c r="K27" s="16">
        <f>K26/$G$2</f>
        <v>0.2</v>
      </c>
      <c r="M27" s="16">
        <f>M26/$G$2</f>
        <v>0.33333333333333331</v>
      </c>
      <c r="O27" s="16">
        <f>O26/$G$2</f>
        <v>0.4</v>
      </c>
    </row>
    <row r="32" spans="1:20" x14ac:dyDescent="0.3">
      <c r="T32" t="s">
        <v>22</v>
      </c>
    </row>
    <row r="33" spans="20:20" x14ac:dyDescent="0.3">
      <c r="T33" t="s">
        <v>22</v>
      </c>
    </row>
    <row r="34" spans="20:20" x14ac:dyDescent="0.3">
      <c r="T34" t="s">
        <v>22</v>
      </c>
    </row>
    <row r="35" spans="20:20" x14ac:dyDescent="0.3">
      <c r="T35" t="s">
        <v>22</v>
      </c>
    </row>
    <row r="36" spans="20:20" x14ac:dyDescent="0.3">
      <c r="T36" t="s">
        <v>22</v>
      </c>
    </row>
    <row r="37" spans="20:20" x14ac:dyDescent="0.3">
      <c r="T37" t="s">
        <v>22</v>
      </c>
    </row>
    <row r="38" spans="20:20" x14ac:dyDescent="0.3">
      <c r="T38" t="s">
        <v>22</v>
      </c>
    </row>
    <row r="39" spans="20:20" x14ac:dyDescent="0.3">
      <c r="T39" t="s">
        <v>22</v>
      </c>
    </row>
    <row r="40" spans="20:20" x14ac:dyDescent="0.3">
      <c r="T40" t="s">
        <v>22</v>
      </c>
    </row>
    <row r="41" spans="20:20" x14ac:dyDescent="0.3">
      <c r="T41" t="s">
        <v>22</v>
      </c>
    </row>
    <row r="42" spans="20:20" x14ac:dyDescent="0.3">
      <c r="T42" t="s">
        <v>22</v>
      </c>
    </row>
    <row r="43" spans="20:20" x14ac:dyDescent="0.3">
      <c r="T43" t="s">
        <v>22</v>
      </c>
    </row>
    <row r="44" spans="20:20" x14ac:dyDescent="0.3">
      <c r="T44" t="s">
        <v>22</v>
      </c>
    </row>
    <row r="45" spans="20:20" x14ac:dyDescent="0.3">
      <c r="T45" t="s">
        <v>22</v>
      </c>
    </row>
    <row r="46" spans="20:20" x14ac:dyDescent="0.3">
      <c r="T46" t="s">
        <v>22</v>
      </c>
    </row>
    <row r="47" spans="20:20" x14ac:dyDescent="0.3">
      <c r="T47" t="s">
        <v>22</v>
      </c>
    </row>
    <row r="48" spans="20:20" x14ac:dyDescent="0.3">
      <c r="T48" t="s">
        <v>22</v>
      </c>
    </row>
    <row r="49" spans="20:20" x14ac:dyDescent="0.3">
      <c r="T49" t="s">
        <v>22</v>
      </c>
    </row>
    <row r="50" spans="20:20" x14ac:dyDescent="0.3">
      <c r="T50" t="s">
        <v>22</v>
      </c>
    </row>
    <row r="51" spans="20:20" x14ac:dyDescent="0.3">
      <c r="T51" t="s">
        <v>22</v>
      </c>
    </row>
    <row r="52" spans="20:20" x14ac:dyDescent="0.3">
      <c r="T52" t="s">
        <v>22</v>
      </c>
    </row>
    <row r="53" spans="20:20" x14ac:dyDescent="0.3">
      <c r="T53" t="s">
        <v>22</v>
      </c>
    </row>
    <row r="54" spans="20:20" x14ac:dyDescent="0.3">
      <c r="T54" t="s">
        <v>22</v>
      </c>
    </row>
    <row r="55" spans="20:20" x14ac:dyDescent="0.3">
      <c r="T55" t="s">
        <v>22</v>
      </c>
    </row>
    <row r="56" spans="20:20" x14ac:dyDescent="0.3">
      <c r="T56" t="s">
        <v>22</v>
      </c>
    </row>
    <row r="57" spans="20:20" x14ac:dyDescent="0.3">
      <c r="T57" t="s">
        <v>22</v>
      </c>
    </row>
    <row r="58" spans="20:20" x14ac:dyDescent="0.3">
      <c r="T58" t="s">
        <v>22</v>
      </c>
    </row>
    <row r="59" spans="20:20" x14ac:dyDescent="0.3">
      <c r="T59" t="s">
        <v>22</v>
      </c>
    </row>
    <row r="60" spans="20:20" x14ac:dyDescent="0.3">
      <c r="T60" t="s">
        <v>22</v>
      </c>
    </row>
    <row r="61" spans="20:20" x14ac:dyDescent="0.3">
      <c r="T61" t="s">
        <v>22</v>
      </c>
    </row>
    <row r="62" spans="20:20" x14ac:dyDescent="0.3">
      <c r="T62" t="s">
        <v>22</v>
      </c>
    </row>
    <row r="63" spans="20:20" x14ac:dyDescent="0.3">
      <c r="T63" t="s">
        <v>22</v>
      </c>
    </row>
    <row r="64" spans="20:20" x14ac:dyDescent="0.3">
      <c r="T64" t="s">
        <v>22</v>
      </c>
    </row>
    <row r="65" spans="20:20" x14ac:dyDescent="0.3">
      <c r="T65" t="s">
        <v>22</v>
      </c>
    </row>
    <row r="66" spans="20:20" x14ac:dyDescent="0.3">
      <c r="T66" t="s">
        <v>22</v>
      </c>
    </row>
    <row r="67" spans="20:20" x14ac:dyDescent="0.3">
      <c r="T67" t="s">
        <v>22</v>
      </c>
    </row>
    <row r="68" spans="20:20" x14ac:dyDescent="0.3">
      <c r="T68" t="s">
        <v>22</v>
      </c>
    </row>
    <row r="69" spans="20:20" x14ac:dyDescent="0.3">
      <c r="T69" t="s">
        <v>22</v>
      </c>
    </row>
    <row r="70" spans="20:20" x14ac:dyDescent="0.3">
      <c r="T70" t="s">
        <v>22</v>
      </c>
    </row>
    <row r="71" spans="20:20" x14ac:dyDescent="0.3">
      <c r="T71" t="s">
        <v>22</v>
      </c>
    </row>
    <row r="72" spans="20:20" x14ac:dyDescent="0.3">
      <c r="T72" t="s">
        <v>22</v>
      </c>
    </row>
    <row r="73" spans="20:20" x14ac:dyDescent="0.3">
      <c r="T73" t="s">
        <v>22</v>
      </c>
    </row>
    <row r="74" spans="20:20" x14ac:dyDescent="0.3">
      <c r="T74" t="s">
        <v>22</v>
      </c>
    </row>
    <row r="75" spans="20:20" x14ac:dyDescent="0.3">
      <c r="T75" t="s">
        <v>22</v>
      </c>
    </row>
    <row r="76" spans="20:20" x14ac:dyDescent="0.3">
      <c r="T76" t="s">
        <v>22</v>
      </c>
    </row>
    <row r="77" spans="20:20" x14ac:dyDescent="0.3">
      <c r="T77" t="s">
        <v>22</v>
      </c>
    </row>
    <row r="78" spans="20:20" x14ac:dyDescent="0.3">
      <c r="T78" t="s">
        <v>22</v>
      </c>
    </row>
    <row r="79" spans="20:20" x14ac:dyDescent="0.3">
      <c r="T79" t="s">
        <v>22</v>
      </c>
    </row>
    <row r="80" spans="20:20" x14ac:dyDescent="0.3">
      <c r="T80" t="s">
        <v>22</v>
      </c>
    </row>
    <row r="81" spans="20:20" x14ac:dyDescent="0.3">
      <c r="T81" t="s">
        <v>22</v>
      </c>
    </row>
    <row r="82" spans="20:20" x14ac:dyDescent="0.3">
      <c r="T82" t="s">
        <v>22</v>
      </c>
    </row>
    <row r="83" spans="20:20" x14ac:dyDescent="0.3">
      <c r="T83" t="s">
        <v>22</v>
      </c>
    </row>
    <row r="84" spans="20:20" x14ac:dyDescent="0.3">
      <c r="T84" t="s">
        <v>22</v>
      </c>
    </row>
    <row r="85" spans="20:20" x14ac:dyDescent="0.3">
      <c r="T85" t="s">
        <v>22</v>
      </c>
    </row>
    <row r="86" spans="20:20" x14ac:dyDescent="0.3">
      <c r="T86" t="s">
        <v>22</v>
      </c>
    </row>
    <row r="87" spans="20:20" x14ac:dyDescent="0.3">
      <c r="T87" t="s">
        <v>22</v>
      </c>
    </row>
    <row r="88" spans="20:20" x14ac:dyDescent="0.3">
      <c r="T88" t="s">
        <v>22</v>
      </c>
    </row>
    <row r="89" spans="20:20" x14ac:dyDescent="0.3">
      <c r="T89" t="s">
        <v>22</v>
      </c>
    </row>
    <row r="90" spans="20:20" x14ac:dyDescent="0.3">
      <c r="T90" t="s">
        <v>22</v>
      </c>
    </row>
    <row r="91" spans="20:20" x14ac:dyDescent="0.3">
      <c r="T91" t="s">
        <v>22</v>
      </c>
    </row>
    <row r="92" spans="20:20" x14ac:dyDescent="0.3">
      <c r="T92" t="s">
        <v>22</v>
      </c>
    </row>
    <row r="93" spans="20:20" x14ac:dyDescent="0.3">
      <c r="T93" t="s">
        <v>22</v>
      </c>
    </row>
    <row r="94" spans="20:20" x14ac:dyDescent="0.3">
      <c r="T94" t="s">
        <v>22</v>
      </c>
    </row>
    <row r="95" spans="20:20" x14ac:dyDescent="0.3">
      <c r="T95" t="s">
        <v>22</v>
      </c>
    </row>
    <row r="96" spans="20:20" x14ac:dyDescent="0.3">
      <c r="T96" t="s">
        <v>22</v>
      </c>
    </row>
    <row r="97" spans="20:20" x14ac:dyDescent="0.3">
      <c r="T97" t="s">
        <v>43</v>
      </c>
    </row>
    <row r="98" spans="20:20" x14ac:dyDescent="0.3">
      <c r="T98" t="s">
        <v>22</v>
      </c>
    </row>
    <row r="99" spans="20:20" x14ac:dyDescent="0.3">
      <c r="T99" t="s">
        <v>22</v>
      </c>
    </row>
    <row r="100" spans="20:20" x14ac:dyDescent="0.3">
      <c r="T100" t="s">
        <v>22</v>
      </c>
    </row>
    <row r="101" spans="20:20" x14ac:dyDescent="0.3">
      <c r="T101" t="s">
        <v>22</v>
      </c>
    </row>
    <row r="102" spans="20:20" x14ac:dyDescent="0.3">
      <c r="T102" t="s">
        <v>22</v>
      </c>
    </row>
    <row r="103" spans="20:20" x14ac:dyDescent="0.3">
      <c r="T103" t="s">
        <v>22</v>
      </c>
    </row>
    <row r="104" spans="20:20" x14ac:dyDescent="0.3">
      <c r="T104" t="s">
        <v>22</v>
      </c>
    </row>
    <row r="105" spans="20:20" x14ac:dyDescent="0.3">
      <c r="T105" t="s">
        <v>22</v>
      </c>
    </row>
    <row r="106" spans="20:20" x14ac:dyDescent="0.3">
      <c r="T106" t="s">
        <v>22</v>
      </c>
    </row>
    <row r="107" spans="20:20" x14ac:dyDescent="0.3">
      <c r="T107" t="s">
        <v>22</v>
      </c>
    </row>
    <row r="108" spans="20:20" x14ac:dyDescent="0.3">
      <c r="T108" t="s">
        <v>22</v>
      </c>
    </row>
    <row r="109" spans="20:20" x14ac:dyDescent="0.3">
      <c r="T109" t="s">
        <v>22</v>
      </c>
    </row>
    <row r="110" spans="20:20" x14ac:dyDescent="0.3">
      <c r="T110" t="s">
        <v>22</v>
      </c>
    </row>
    <row r="111" spans="20:20" x14ac:dyDescent="0.3">
      <c r="T111" t="s">
        <v>22</v>
      </c>
    </row>
    <row r="112" spans="20:20" x14ac:dyDescent="0.3">
      <c r="T112" t="s">
        <v>22</v>
      </c>
    </row>
    <row r="113" spans="20:20" x14ac:dyDescent="0.3">
      <c r="T113" t="s">
        <v>22</v>
      </c>
    </row>
    <row r="114" spans="20:20" x14ac:dyDescent="0.3">
      <c r="T114" t="s">
        <v>22</v>
      </c>
    </row>
    <row r="115" spans="20:20" x14ac:dyDescent="0.3">
      <c r="T115" t="s">
        <v>22</v>
      </c>
    </row>
    <row r="116" spans="20:20" x14ac:dyDescent="0.3">
      <c r="T116" t="s">
        <v>22</v>
      </c>
    </row>
    <row r="117" spans="20:20" x14ac:dyDescent="0.3">
      <c r="T117" t="s">
        <v>22</v>
      </c>
    </row>
    <row r="118" spans="20:20" x14ac:dyDescent="0.3">
      <c r="T118" t="s">
        <v>22</v>
      </c>
    </row>
    <row r="119" spans="20:20" x14ac:dyDescent="0.3">
      <c r="T119" t="s">
        <v>22</v>
      </c>
    </row>
    <row r="120" spans="20:20" x14ac:dyDescent="0.3">
      <c r="T120" t="s">
        <v>22</v>
      </c>
    </row>
    <row r="121" spans="20:20" x14ac:dyDescent="0.3">
      <c r="T121" t="s">
        <v>22</v>
      </c>
    </row>
    <row r="122" spans="20:20" x14ac:dyDescent="0.3">
      <c r="T122" t="s">
        <v>22</v>
      </c>
    </row>
    <row r="123" spans="20:20" x14ac:dyDescent="0.3">
      <c r="T123" t="s">
        <v>22</v>
      </c>
    </row>
    <row r="124" spans="20:20" x14ac:dyDescent="0.3">
      <c r="T124" t="s">
        <v>22</v>
      </c>
    </row>
    <row r="125" spans="20:20" x14ac:dyDescent="0.3">
      <c r="T125" t="s">
        <v>22</v>
      </c>
    </row>
    <row r="126" spans="20:20" x14ac:dyDescent="0.3">
      <c r="T126" t="s">
        <v>22</v>
      </c>
    </row>
    <row r="127" spans="20:20" x14ac:dyDescent="0.3">
      <c r="T127" t="s">
        <v>22</v>
      </c>
    </row>
    <row r="128" spans="20:20" x14ac:dyDescent="0.3">
      <c r="T128" t="s">
        <v>22</v>
      </c>
    </row>
    <row r="129" spans="20:20" x14ac:dyDescent="0.3">
      <c r="T129" t="s">
        <v>22</v>
      </c>
    </row>
    <row r="130" spans="20:20" x14ac:dyDescent="0.3">
      <c r="T130" t="s">
        <v>22</v>
      </c>
    </row>
    <row r="131" spans="20:20" x14ac:dyDescent="0.3">
      <c r="T131" t="s">
        <v>22</v>
      </c>
    </row>
    <row r="132" spans="20:20" x14ac:dyDescent="0.3">
      <c r="T132" t="s">
        <v>22</v>
      </c>
    </row>
  </sheetData>
  <sortState xmlns:xlrd2="http://schemas.microsoft.com/office/spreadsheetml/2017/richdata2" ref="A11:T25">
    <sortCondition descending="1" ref="Q11:Q25"/>
  </sortState>
  <mergeCells count="29"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E9:F9"/>
    <mergeCell ref="O9:P9"/>
    <mergeCell ref="A26:C26"/>
    <mergeCell ref="A27:C27"/>
    <mergeCell ref="G9:H9"/>
    <mergeCell ref="I9:J9"/>
    <mergeCell ref="M9:N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1"/>
  <sheetViews>
    <sheetView workbookViewId="0">
      <pane xSplit="3" ySplit="10" topLeftCell="E11" activePane="bottomRight" state="frozenSplit"/>
      <selection activeCell="D1" sqref="D1"/>
      <selection pane="topRight" activeCell="D1" sqref="D1"/>
      <selection pane="bottomLeft" activeCell="A10" sqref="A10"/>
      <selection pane="bottomRight" activeCell="H25" sqref="H25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886718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2" max="12" width="18.33203125" bestFit="1" customWidth="1"/>
    <col min="13" max="13" width="7.6640625" bestFit="1" customWidth="1"/>
    <col min="14" max="14" width="25.33203125" customWidth="1"/>
    <col min="15" max="15" width="14.33203125" customWidth="1"/>
    <col min="16" max="16" width="19" customWidth="1"/>
    <col min="17" max="17" width="15.44140625" bestFit="1" customWidth="1"/>
    <col min="18" max="18" width="19.6640625" bestFit="1" customWidth="1"/>
    <col min="19" max="19" width="12.33203125" bestFit="1" customWidth="1"/>
    <col min="20" max="20" width="19.6640625" bestFit="1" customWidth="1"/>
  </cols>
  <sheetData>
    <row r="1" spans="1:18" ht="31.2" x14ac:dyDescent="0.6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8" x14ac:dyDescent="0.3">
      <c r="E2" s="33" t="s">
        <v>36</v>
      </c>
      <c r="F2" s="33"/>
      <c r="G2" s="15">
        <f>COUNTA(B11:B25)</f>
        <v>4</v>
      </c>
    </row>
    <row r="3" spans="1:18" x14ac:dyDescent="0.3">
      <c r="B3" s="2"/>
      <c r="E3" s="33" t="s">
        <v>38</v>
      </c>
      <c r="F3" s="33"/>
      <c r="G3" s="15">
        <f>COUNTA(E8:N8)</f>
        <v>5</v>
      </c>
    </row>
    <row r="4" spans="1:18" x14ac:dyDescent="0.3">
      <c r="B4" s="2"/>
      <c r="C4" s="3"/>
    </row>
    <row r="6" spans="1:18" x14ac:dyDescent="0.3">
      <c r="D6" s="1" t="s">
        <v>0</v>
      </c>
      <c r="E6" s="28" t="s">
        <v>59</v>
      </c>
      <c r="F6" s="28"/>
      <c r="G6" s="28" t="s">
        <v>44</v>
      </c>
      <c r="H6" s="28"/>
      <c r="I6" s="28" t="s">
        <v>62</v>
      </c>
      <c r="J6" s="28"/>
      <c r="K6" s="28" t="s">
        <v>61</v>
      </c>
      <c r="L6" s="28"/>
      <c r="M6" s="28" t="s">
        <v>60</v>
      </c>
      <c r="N6" s="28"/>
    </row>
    <row r="7" spans="1:18" x14ac:dyDescent="0.3">
      <c r="D7" s="1" t="s">
        <v>10</v>
      </c>
      <c r="E7" s="25">
        <v>5</v>
      </c>
      <c r="F7" s="26"/>
      <c r="G7" s="25">
        <v>5</v>
      </c>
      <c r="H7" s="26"/>
      <c r="I7" s="25">
        <v>3</v>
      </c>
      <c r="J7" s="26"/>
      <c r="K7" s="25">
        <v>5</v>
      </c>
      <c r="L7" s="26"/>
      <c r="M7" s="25">
        <v>6</v>
      </c>
      <c r="N7" s="26"/>
    </row>
    <row r="8" spans="1:18" x14ac:dyDescent="0.3">
      <c r="D8" s="1" t="s">
        <v>1</v>
      </c>
      <c r="E8" s="31">
        <v>45220</v>
      </c>
      <c r="F8" s="31"/>
      <c r="G8" s="31">
        <v>45374</v>
      </c>
      <c r="H8" s="31"/>
      <c r="I8" s="31">
        <v>44636</v>
      </c>
      <c r="J8" s="31"/>
      <c r="K8" s="31">
        <v>45409</v>
      </c>
      <c r="L8" s="31"/>
      <c r="M8" s="31">
        <v>45444</v>
      </c>
      <c r="N8" s="31"/>
      <c r="Q8" s="15"/>
    </row>
    <row r="9" spans="1:18" x14ac:dyDescent="0.3">
      <c r="D9" s="1" t="s">
        <v>2</v>
      </c>
      <c r="E9" s="28">
        <v>60</v>
      </c>
      <c r="F9" s="28"/>
      <c r="G9" s="28">
        <v>57</v>
      </c>
      <c r="H9" s="28"/>
      <c r="I9" s="28">
        <v>4</v>
      </c>
      <c r="J9" s="28"/>
      <c r="K9" s="28">
        <v>58</v>
      </c>
      <c r="L9" s="28"/>
      <c r="M9" s="28">
        <f>31+29</f>
        <v>60</v>
      </c>
      <c r="N9" s="28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39</v>
      </c>
      <c r="R10" s="1" t="s">
        <v>41</v>
      </c>
    </row>
    <row r="11" spans="1:18" x14ac:dyDescent="0.3">
      <c r="A11" s="5">
        <f>P11</f>
        <v>1</v>
      </c>
      <c r="B11" s="6" t="s">
        <v>317</v>
      </c>
      <c r="C11" s="6" t="s">
        <v>318</v>
      </c>
      <c r="D11" s="6" t="s">
        <v>319</v>
      </c>
      <c r="E11" s="6">
        <v>36</v>
      </c>
      <c r="F11" s="7">
        <f>IF(E11=0,,($E$9-E11)*$E$7*100/$E$9)</f>
        <v>200</v>
      </c>
      <c r="G11" s="6">
        <v>23</v>
      </c>
      <c r="H11" s="20">
        <f>IF(G11=0,,($E$9-G11)*$E$7*100/$E$9)</f>
        <v>308.33333333333331</v>
      </c>
      <c r="I11" s="6">
        <v>1</v>
      </c>
      <c r="J11" s="20">
        <f>IF(I11=0,,($I$9-I11)*$I$7*100/$I$9)</f>
        <v>225</v>
      </c>
      <c r="K11" s="6">
        <v>33</v>
      </c>
      <c r="L11" s="20">
        <f>IF(K11=0,,($K$9-K11)*$K$7*100/$K$9)</f>
        <v>215.51724137931035</v>
      </c>
      <c r="M11" s="6">
        <f>31+3</f>
        <v>34</v>
      </c>
      <c r="N11" s="20">
        <f>IF(M11=0,,($M$9-M11)*$M$7*100/$M$9)</f>
        <v>260</v>
      </c>
      <c r="O11" s="8">
        <f>N11+L11+J11+H11</f>
        <v>1008.8505747126437</v>
      </c>
      <c r="P11" s="6">
        <f t="shared" ref="P11:P19" si="0">ROW(B11)-10</f>
        <v>1</v>
      </c>
      <c r="Q11" s="6">
        <f>COUNTA(E11,M11,G11,I11,K11)</f>
        <v>5</v>
      </c>
      <c r="R11" s="17">
        <f t="shared" ref="R11:R19" si="1">Q11/$G$3</f>
        <v>1</v>
      </c>
    </row>
    <row r="12" spans="1:18" x14ac:dyDescent="0.3">
      <c r="A12" s="5">
        <f>P12</f>
        <v>2</v>
      </c>
      <c r="B12" s="6" t="s">
        <v>313</v>
      </c>
      <c r="C12" s="6" t="s">
        <v>314</v>
      </c>
      <c r="D12" s="6" t="s">
        <v>315</v>
      </c>
      <c r="E12" s="6">
        <v>56</v>
      </c>
      <c r="F12" s="7">
        <f>IF(E12=0,,($E$9-E12)*$E$7*100/$E$9)</f>
        <v>33.333333333333336</v>
      </c>
      <c r="G12" s="6"/>
      <c r="H12" s="7">
        <f>IF(G12=0,,($E$9-G12)*$E$7*100/$E$9)</f>
        <v>0</v>
      </c>
      <c r="I12" s="6">
        <v>3</v>
      </c>
      <c r="J12" s="7">
        <f>IF(I12=0,,($I$9-I12)*$I$7*100/$I$9)</f>
        <v>75</v>
      </c>
      <c r="K12" s="6">
        <v>31</v>
      </c>
      <c r="L12" s="7">
        <f>IF(K12=0,,($K$9-K12)*$K$7*100/$K$9)</f>
        <v>232.75862068965517</v>
      </c>
      <c r="M12" s="6">
        <f>31+21</f>
        <v>52</v>
      </c>
      <c r="N12" s="7">
        <f>IF(M12=0,,($M$9-M12)*$M$7*100/$M$9)</f>
        <v>80</v>
      </c>
      <c r="O12" s="8">
        <f>SUM(F12,H12,J12,L12,N12)</f>
        <v>421.09195402298849</v>
      </c>
      <c r="P12" s="6">
        <f t="shared" si="0"/>
        <v>2</v>
      </c>
      <c r="Q12" s="6">
        <f t="shared" ref="Q12:Q19" si="2">COUNTA(E12,M12,G12,I12,K12)</f>
        <v>4</v>
      </c>
      <c r="R12" s="17">
        <f t="shared" si="1"/>
        <v>0.8</v>
      </c>
    </row>
    <row r="13" spans="1:18" x14ac:dyDescent="0.3">
      <c r="A13" s="5">
        <f>P13</f>
        <v>3</v>
      </c>
      <c r="B13" s="6" t="s">
        <v>585</v>
      </c>
      <c r="C13" s="6" t="s">
        <v>316</v>
      </c>
      <c r="D13" s="6" t="s">
        <v>315</v>
      </c>
      <c r="E13" s="6">
        <v>44</v>
      </c>
      <c r="F13" s="7">
        <f>IF(E13=0,,($E$9-E13)*$E$7*100/$E$9)</f>
        <v>133.33333333333334</v>
      </c>
      <c r="G13" s="6"/>
      <c r="H13" s="7">
        <f>IF(G13=0,,($E$9-G13)*$E$7*100/$E$9)</f>
        <v>0</v>
      </c>
      <c r="I13" s="6">
        <v>2</v>
      </c>
      <c r="J13" s="7">
        <f>IF(I13=0,,($I$9-I13)*$I$7*100/$I$9)</f>
        <v>150</v>
      </c>
      <c r="K13" s="6"/>
      <c r="L13" s="7">
        <f>IF(K13=0,,($K$9-K13)*$K$7*100/$K$9)</f>
        <v>0</v>
      </c>
      <c r="M13" s="6">
        <f>31+10</f>
        <v>41</v>
      </c>
      <c r="N13" s="7">
        <f>IF(M13=0,,($M$9-M13)*$M$7*100/$M$9)</f>
        <v>190</v>
      </c>
      <c r="O13" s="8">
        <f>SUM(F13,H13,J13,L13,N13)</f>
        <v>473.33333333333337</v>
      </c>
      <c r="P13" s="6">
        <f t="shared" si="0"/>
        <v>3</v>
      </c>
      <c r="Q13" s="6">
        <f t="shared" si="2"/>
        <v>3</v>
      </c>
      <c r="R13" s="17">
        <f t="shared" si="1"/>
        <v>0.6</v>
      </c>
    </row>
    <row r="14" spans="1:18" x14ac:dyDescent="0.3">
      <c r="A14" s="5">
        <f>P14</f>
        <v>4</v>
      </c>
      <c r="B14" s="6" t="s">
        <v>542</v>
      </c>
      <c r="C14" s="6" t="s">
        <v>277</v>
      </c>
      <c r="D14" s="6" t="s">
        <v>380</v>
      </c>
      <c r="E14" s="6"/>
      <c r="F14" s="7">
        <f>IF(E14=0,,($E$9-E14)*$E$7*100/$E$9)</f>
        <v>0</v>
      </c>
      <c r="G14" s="6"/>
      <c r="H14" s="7">
        <f>IF(G14=0,,($E$9-G14)*$E$7*100/$E$9)</f>
        <v>0</v>
      </c>
      <c r="I14" s="6">
        <v>3</v>
      </c>
      <c r="J14" s="7">
        <f>IF(I14=0,,($I$9-I14)*$I$7*100/$I$9)</f>
        <v>75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8">
        <f>SUM(F14,H14,J14,L14,N14)</f>
        <v>75</v>
      </c>
      <c r="P14" s="6">
        <f t="shared" si="0"/>
        <v>4</v>
      </c>
      <c r="Q14" s="6">
        <f t="shared" si="2"/>
        <v>1</v>
      </c>
      <c r="R14" s="17">
        <f t="shared" si="1"/>
        <v>0.2</v>
      </c>
    </row>
    <row r="15" spans="1:18" x14ac:dyDescent="0.3">
      <c r="A15" s="5">
        <f>P15</f>
        <v>5</v>
      </c>
      <c r="B15" s="6"/>
      <c r="C15" s="6"/>
      <c r="D15" s="6"/>
      <c r="E15" s="6"/>
      <c r="F15" s="7">
        <f t="shared" ref="F15:F19" si="3">IF(E15=0,,($E$9-E15)*$E$7*100/$E$9)</f>
        <v>0</v>
      </c>
      <c r="G15" s="6"/>
      <c r="H15" s="7">
        <f t="shared" ref="H15:H19" si="4">IF(G15=0,,($E$9-G15)*$E$7*100/$E$9)</f>
        <v>0</v>
      </c>
      <c r="I15" s="6"/>
      <c r="J15" s="7">
        <f t="shared" ref="J15:J19" si="5">IF(I15=0,,($I$9-I15)*$I$7*100/$I$9)</f>
        <v>0</v>
      </c>
      <c r="K15" s="6"/>
      <c r="L15" s="7">
        <f t="shared" ref="L15:L19" si="6">IF(K15=0,,($K$9-K15)*$K$7*100/$K$9)</f>
        <v>0</v>
      </c>
      <c r="M15" s="6"/>
      <c r="N15" s="7">
        <f t="shared" ref="N15:N19" si="7">IF(M15=0,,($M$9-M15)*$M$7*100/$M$9)</f>
        <v>0</v>
      </c>
      <c r="O15" s="8">
        <f t="shared" ref="O15:O19" si="8">SUM(F15,H15,J15,L15,N15)</f>
        <v>0</v>
      </c>
      <c r="P15" s="6">
        <f t="shared" si="0"/>
        <v>5</v>
      </c>
      <c r="Q15" s="6">
        <f t="shared" si="2"/>
        <v>0</v>
      </c>
      <c r="R15" s="17">
        <f t="shared" si="1"/>
        <v>0</v>
      </c>
    </row>
    <row r="16" spans="1:18" x14ac:dyDescent="0.3">
      <c r="A16" s="5"/>
      <c r="B16" s="6"/>
      <c r="C16" s="6"/>
      <c r="D16" s="6"/>
      <c r="E16" s="6"/>
      <c r="F16" s="7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si="6"/>
        <v>0</v>
      </c>
      <c r="M16" s="6"/>
      <c r="N16" s="7">
        <f t="shared" si="7"/>
        <v>0</v>
      </c>
      <c r="O16" s="8">
        <f t="shared" si="8"/>
        <v>0</v>
      </c>
      <c r="P16" s="6">
        <f t="shared" si="0"/>
        <v>6</v>
      </c>
      <c r="Q16" s="6">
        <f t="shared" si="2"/>
        <v>0</v>
      </c>
      <c r="R16" s="17">
        <f t="shared" si="1"/>
        <v>0</v>
      </c>
    </row>
    <row r="17" spans="1:18" x14ac:dyDescent="0.3">
      <c r="A17" s="5"/>
      <c r="B17" s="6"/>
      <c r="C17" s="6"/>
      <c r="D17" s="6"/>
      <c r="E17" s="6"/>
      <c r="F17" s="7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6"/>
        <v>0</v>
      </c>
      <c r="M17" s="6"/>
      <c r="N17" s="7">
        <f t="shared" si="7"/>
        <v>0</v>
      </c>
      <c r="O17" s="8">
        <f t="shared" si="8"/>
        <v>0</v>
      </c>
      <c r="P17" s="6">
        <f t="shared" si="0"/>
        <v>7</v>
      </c>
      <c r="Q17" s="6">
        <f t="shared" si="2"/>
        <v>0</v>
      </c>
      <c r="R17" s="17">
        <f t="shared" si="1"/>
        <v>0</v>
      </c>
    </row>
    <row r="18" spans="1:18" x14ac:dyDescent="0.3">
      <c r="A18" s="5"/>
      <c r="B18" s="6"/>
      <c r="C18" s="6"/>
      <c r="D18" s="6"/>
      <c r="E18" s="6"/>
      <c r="F18" s="7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6"/>
        <v>0</v>
      </c>
      <c r="M18" s="6"/>
      <c r="N18" s="7">
        <f t="shared" si="7"/>
        <v>0</v>
      </c>
      <c r="O18" s="8">
        <f t="shared" si="8"/>
        <v>0</v>
      </c>
      <c r="P18" s="6">
        <f t="shared" si="0"/>
        <v>8</v>
      </c>
      <c r="Q18" s="6">
        <f t="shared" si="2"/>
        <v>0</v>
      </c>
      <c r="R18" s="17">
        <f t="shared" si="1"/>
        <v>0</v>
      </c>
    </row>
    <row r="19" spans="1:18" x14ac:dyDescent="0.3">
      <c r="A19" s="5"/>
      <c r="B19" s="6"/>
      <c r="C19" s="6"/>
      <c r="D19" s="6"/>
      <c r="E19" s="6"/>
      <c r="F19" s="7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6"/>
        <v>0</v>
      </c>
      <c r="M19" s="6"/>
      <c r="N19" s="7">
        <f t="shared" si="7"/>
        <v>0</v>
      </c>
      <c r="O19" s="8">
        <f t="shared" si="8"/>
        <v>0</v>
      </c>
      <c r="P19" s="6">
        <f t="shared" si="0"/>
        <v>9</v>
      </c>
      <c r="Q19" s="6">
        <f t="shared" si="2"/>
        <v>0</v>
      </c>
      <c r="R19" s="17">
        <f t="shared" si="1"/>
        <v>0</v>
      </c>
    </row>
    <row r="20" spans="1:18" x14ac:dyDescent="0.3">
      <c r="A20" s="29" t="s">
        <v>18</v>
      </c>
      <c r="B20" s="29"/>
      <c r="C20" s="30"/>
      <c r="E20">
        <f>COUNTA(E11:E19)</f>
        <v>3</v>
      </c>
      <c r="G20">
        <f>COUNTA(G11:G19)</f>
        <v>1</v>
      </c>
      <c r="I20">
        <f>COUNTA(I11:I19)</f>
        <v>4</v>
      </c>
      <c r="K20">
        <f>COUNTA(K11:K19)</f>
        <v>2</v>
      </c>
      <c r="M20">
        <f>COUNTA(M11:M19)</f>
        <v>3</v>
      </c>
    </row>
    <row r="21" spans="1:18" x14ac:dyDescent="0.3">
      <c r="A21" s="32" t="s">
        <v>40</v>
      </c>
      <c r="B21" s="32"/>
      <c r="C21" s="32"/>
      <c r="E21" s="16">
        <f>E20/$G$2</f>
        <v>0.75</v>
      </c>
      <c r="G21" s="16">
        <f>G20/$G$2</f>
        <v>0.25</v>
      </c>
      <c r="I21" s="16">
        <f>I20/$G$2</f>
        <v>1</v>
      </c>
      <c r="K21" s="16">
        <f>K20/$G$2</f>
        <v>0.5</v>
      </c>
      <c r="M21" s="16">
        <f>M20/$G$2</f>
        <v>0.75</v>
      </c>
    </row>
  </sheetData>
  <sortState xmlns:xlrd2="http://schemas.microsoft.com/office/spreadsheetml/2017/richdata2" ref="A11:O14">
    <sortCondition descending="1" ref="O11:O14"/>
    <sortCondition ref="B11:B14"/>
  </sortState>
  <mergeCells count="25">
    <mergeCell ref="A1:O1"/>
    <mergeCell ref="E6:F6"/>
    <mergeCell ref="M6:N6"/>
    <mergeCell ref="E8:F8"/>
    <mergeCell ref="M8:N8"/>
    <mergeCell ref="E7:F7"/>
    <mergeCell ref="M7:N7"/>
    <mergeCell ref="E2:F2"/>
    <mergeCell ref="E3:F3"/>
    <mergeCell ref="K6:L6"/>
    <mergeCell ref="K7:L7"/>
    <mergeCell ref="K8:L8"/>
    <mergeCell ref="A20:C20"/>
    <mergeCell ref="E9:F9"/>
    <mergeCell ref="M9:N9"/>
    <mergeCell ref="A21:C21"/>
    <mergeCell ref="G6:H6"/>
    <mergeCell ref="G7:H7"/>
    <mergeCell ref="G8:H8"/>
    <mergeCell ref="G9:H9"/>
    <mergeCell ref="K9:L9"/>
    <mergeCell ref="I6:J6"/>
    <mergeCell ref="I7:J7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47"/>
  <sheetViews>
    <sheetView zoomScale="63" zoomScaleNormal="63" workbookViewId="0">
      <pane xSplit="3" ySplit="10" topLeftCell="G11" activePane="bottomRight" state="frozenSplit"/>
      <selection activeCell="F16" sqref="F16"/>
      <selection pane="topRight" activeCell="F16" sqref="F16"/>
      <selection pane="bottomLeft" activeCell="F16" sqref="F16"/>
      <selection pane="bottomRight" activeCell="V24" sqref="V24"/>
    </sheetView>
  </sheetViews>
  <sheetFormatPr baseColWidth="10" defaultRowHeight="14.4" x14ac:dyDescent="0.3"/>
  <cols>
    <col min="1" max="1" width="18.33203125" bestFit="1" customWidth="1"/>
    <col min="2" max="2" width="27.5546875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2" max="22" width="19" customWidth="1"/>
    <col min="23" max="23" width="16.33203125" customWidth="1"/>
    <col min="24" max="24" width="18.33203125" bestFit="1" customWidth="1"/>
    <col min="25" max="25" width="16.5546875" bestFit="1" customWidth="1"/>
    <col min="26" max="26" width="17.6640625" bestFit="1" customWidth="1"/>
    <col min="27" max="27" width="18.33203125" bestFit="1" customWidth="1"/>
    <col min="28" max="28" width="27.6640625" bestFit="1" customWidth="1"/>
  </cols>
  <sheetData>
    <row r="1" spans="1:28" ht="31.2" x14ac:dyDescent="0.6">
      <c r="A1" s="27" t="s">
        <v>42</v>
      </c>
      <c r="B1" s="27"/>
      <c r="C1" s="27"/>
      <c r="D1" s="27"/>
      <c r="E1" s="27"/>
      <c r="F1" s="27"/>
      <c r="G1" s="27"/>
      <c r="H1" s="27"/>
    </row>
    <row r="2" spans="1:28" x14ac:dyDescent="0.3">
      <c r="E2" s="33" t="s">
        <v>36</v>
      </c>
      <c r="F2" s="33"/>
      <c r="G2" s="15">
        <f>COUNTA(B11:B45)</f>
        <v>25</v>
      </c>
    </row>
    <row r="3" spans="1:28" x14ac:dyDescent="0.3">
      <c r="E3" s="33" t="s">
        <v>38</v>
      </c>
      <c r="F3" s="33"/>
      <c r="G3" s="15">
        <f>COUNTA(E8:X8)</f>
        <v>10</v>
      </c>
    </row>
    <row r="4" spans="1:28" x14ac:dyDescent="0.3">
      <c r="A4" s="10"/>
      <c r="B4" s="11" t="s">
        <v>24</v>
      </c>
      <c r="C4" s="3"/>
    </row>
    <row r="6" spans="1:28" x14ac:dyDescent="0.3">
      <c r="D6" s="1" t="s">
        <v>0</v>
      </c>
      <c r="E6" s="28" t="s">
        <v>54</v>
      </c>
      <c r="F6" s="28"/>
      <c r="G6" s="28" t="s">
        <v>15</v>
      </c>
      <c r="H6" s="28"/>
      <c r="I6" s="28" t="s">
        <v>55</v>
      </c>
      <c r="J6" s="28"/>
      <c r="K6" s="28" t="s">
        <v>460</v>
      </c>
      <c r="L6" s="28"/>
      <c r="M6" s="28" t="s">
        <v>459</v>
      </c>
      <c r="N6" s="28"/>
      <c r="O6" s="28" t="s">
        <v>461</v>
      </c>
      <c r="P6" s="28"/>
      <c r="Q6" s="28" t="s">
        <v>56</v>
      </c>
      <c r="R6" s="28"/>
      <c r="S6" s="28" t="s">
        <v>19</v>
      </c>
      <c r="T6" s="28"/>
      <c r="U6" s="28" t="s">
        <v>47</v>
      </c>
      <c r="V6" s="28"/>
      <c r="W6" s="28" t="s">
        <v>58</v>
      </c>
      <c r="X6" s="28"/>
    </row>
    <row r="7" spans="1:28" x14ac:dyDescent="0.3">
      <c r="D7" s="1" t="s">
        <v>10</v>
      </c>
      <c r="E7" s="25">
        <v>5</v>
      </c>
      <c r="F7" s="26"/>
      <c r="G7" s="25">
        <v>2</v>
      </c>
      <c r="H7" s="26"/>
      <c r="I7" s="25">
        <v>5</v>
      </c>
      <c r="J7" s="26"/>
      <c r="K7" s="25">
        <v>6</v>
      </c>
      <c r="L7" s="26"/>
      <c r="M7" s="25">
        <v>6</v>
      </c>
      <c r="N7" s="26"/>
      <c r="O7" s="25">
        <v>6</v>
      </c>
      <c r="P7" s="26"/>
      <c r="Q7" s="25">
        <v>5</v>
      </c>
      <c r="R7" s="26"/>
      <c r="S7" s="25">
        <v>3</v>
      </c>
      <c r="T7" s="26"/>
      <c r="U7" s="25">
        <v>2</v>
      </c>
      <c r="V7" s="26"/>
      <c r="W7" s="25">
        <v>6</v>
      </c>
      <c r="X7" s="26"/>
    </row>
    <row r="8" spans="1:28" x14ac:dyDescent="0.3">
      <c r="D8" s="1" t="s">
        <v>1</v>
      </c>
      <c r="E8" s="31">
        <v>45222</v>
      </c>
      <c r="F8" s="31"/>
      <c r="G8" s="31">
        <v>45248</v>
      </c>
      <c r="H8" s="31"/>
      <c r="I8" s="31">
        <v>45255</v>
      </c>
      <c r="J8" s="31"/>
      <c r="K8" s="31">
        <v>45269</v>
      </c>
      <c r="L8" s="31"/>
      <c r="M8" s="31">
        <v>45305</v>
      </c>
      <c r="N8" s="31"/>
      <c r="O8" s="31">
        <v>45319</v>
      </c>
      <c r="P8" s="31"/>
      <c r="Q8" s="31">
        <v>45360</v>
      </c>
      <c r="R8" s="31"/>
      <c r="S8" s="31">
        <v>45367</v>
      </c>
      <c r="T8" s="31"/>
      <c r="U8" s="31">
        <v>45023</v>
      </c>
      <c r="V8" s="31"/>
      <c r="W8" s="31">
        <v>45430</v>
      </c>
      <c r="X8" s="31"/>
      <c r="Z8" s="15"/>
    </row>
    <row r="9" spans="1:28" x14ac:dyDescent="0.3">
      <c r="D9" s="1" t="s">
        <v>2</v>
      </c>
      <c r="E9" s="28">
        <v>149</v>
      </c>
      <c r="F9" s="28"/>
      <c r="G9" s="28">
        <v>28</v>
      </c>
      <c r="H9" s="28"/>
      <c r="I9" s="28">
        <v>127</v>
      </c>
      <c r="J9" s="28"/>
      <c r="K9" s="28">
        <v>252</v>
      </c>
      <c r="L9" s="28"/>
      <c r="M9" s="28">
        <v>194</v>
      </c>
      <c r="N9" s="28"/>
      <c r="O9" s="28">
        <v>147</v>
      </c>
      <c r="P9" s="28"/>
      <c r="Q9" s="28">
        <v>134</v>
      </c>
      <c r="R9" s="28"/>
      <c r="S9" s="28">
        <v>18</v>
      </c>
      <c r="T9" s="28"/>
      <c r="U9" s="28">
        <v>9</v>
      </c>
      <c r="V9" s="28"/>
      <c r="W9" s="28">
        <f>31+96</f>
        <v>127</v>
      </c>
      <c r="X9" s="28"/>
    </row>
    <row r="10" spans="1:2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39</v>
      </c>
      <c r="AA10" s="1" t="s">
        <v>9</v>
      </c>
      <c r="AB10" s="1" t="s">
        <v>41</v>
      </c>
    </row>
    <row r="11" spans="1:28" x14ac:dyDescent="0.3">
      <c r="A11" s="5">
        <f t="shared" ref="A11:A35" si="0">AA11</f>
        <v>1</v>
      </c>
      <c r="B11" s="6" t="s">
        <v>320</v>
      </c>
      <c r="C11" s="6" t="s">
        <v>321</v>
      </c>
      <c r="D11" s="6" t="s">
        <v>100</v>
      </c>
      <c r="E11" s="6">
        <v>18</v>
      </c>
      <c r="F11" s="20">
        <f t="shared" ref="F11:F35" si="1">IF(E11=0,,($E$9-E11)*$E$7*100/$E$9)</f>
        <v>439.59731543624162</v>
      </c>
      <c r="G11" s="6">
        <v>1</v>
      </c>
      <c r="H11" s="7">
        <f t="shared" ref="H11:H35" si="2">IF(G11=0,,($G$9-G11)*$G$7*100/$G$9)</f>
        <v>192.85714285714286</v>
      </c>
      <c r="I11" s="6">
        <v>21</v>
      </c>
      <c r="J11" s="7">
        <f t="shared" ref="J11:J35" si="3">IF(I11=0,,($I$9-I11)*$I$7*100/$I$9)</f>
        <v>417.32283464566927</v>
      </c>
      <c r="K11" s="6"/>
      <c r="L11" s="7">
        <f t="shared" ref="L11:L35" si="4">IF(K11=0,,($K$9-K11)*$K$7*100/$K$9)</f>
        <v>0</v>
      </c>
      <c r="M11" s="6">
        <v>51</v>
      </c>
      <c r="N11" s="20">
        <f t="shared" ref="N11:N35" si="5">IF(M11=0,,($M$9-M11)*$M$7*100/$M$9)</f>
        <v>442.26804123711338</v>
      </c>
      <c r="O11" s="6">
        <v>36</v>
      </c>
      <c r="P11" s="20">
        <f t="shared" ref="P11:P35" si="6">IF(O11=0,,($M$9-O11)*$M$7*100/$M$9)</f>
        <v>488.65979381443299</v>
      </c>
      <c r="Q11" s="6">
        <v>30</v>
      </c>
      <c r="R11" s="7">
        <f t="shared" ref="R11:R31" si="7">IF(Q11=0,,($Q$9-Q11)*$Q$7*100/$Q$9)</f>
        <v>388.05970149253733</v>
      </c>
      <c r="S11" s="6">
        <v>1</v>
      </c>
      <c r="T11" s="7">
        <f t="shared" ref="T11:T32" si="8">IF(S11=0,,($S$9-S11)*$S$7*100/$S$9)</f>
        <v>283.33333333333331</v>
      </c>
      <c r="U11" s="6"/>
      <c r="V11" s="7">
        <f t="shared" ref="V11:V24" si="9">IF(U11=0,,($U$9-U11)*$U$7*100/$U$9)</f>
        <v>0</v>
      </c>
      <c r="W11" s="6">
        <v>15</v>
      </c>
      <c r="X11" s="20">
        <f t="shared" ref="X11:X35" si="10">IF(W11=0,,($W$9-W11)*$W$7*100/$W$9)</f>
        <v>529.1338582677165</v>
      </c>
      <c r="Y11" s="8">
        <f>F11+X11+N11+P11</f>
        <v>1899.6590087555044</v>
      </c>
      <c r="Z11" s="6">
        <f t="shared" ref="Z11:Z25" si="11">COUNTA(E11,G11,I11,K11,M11,Q11,U11,W11,S11)</f>
        <v>7</v>
      </c>
      <c r="AA11" s="6">
        <f t="shared" ref="AA11:AA35" si="12">ROW(B11)-10</f>
        <v>1</v>
      </c>
      <c r="AB11" s="17">
        <f t="shared" ref="AB11:AB45" si="13">Z11/$G$3</f>
        <v>0.7</v>
      </c>
    </row>
    <row r="12" spans="1:28" x14ac:dyDescent="0.3">
      <c r="A12" s="5">
        <f t="shared" si="0"/>
        <v>2</v>
      </c>
      <c r="B12" s="6" t="s">
        <v>340</v>
      </c>
      <c r="C12" s="6" t="s">
        <v>341</v>
      </c>
      <c r="D12" s="6" t="s">
        <v>100</v>
      </c>
      <c r="E12" s="6">
        <v>16</v>
      </c>
      <c r="F12" s="20">
        <f t="shared" si="1"/>
        <v>446.30872483221475</v>
      </c>
      <c r="G12" s="6">
        <v>2</v>
      </c>
      <c r="H12" s="7">
        <f t="shared" si="2"/>
        <v>185.71428571428572</v>
      </c>
      <c r="I12" s="6">
        <v>28</v>
      </c>
      <c r="J12" s="20">
        <f t="shared" si="3"/>
        <v>389.76377952755905</v>
      </c>
      <c r="K12" s="6">
        <v>137</v>
      </c>
      <c r="L12" s="7">
        <f t="shared" si="4"/>
        <v>273.8095238095238</v>
      </c>
      <c r="M12" s="6"/>
      <c r="N12" s="7">
        <f t="shared" si="5"/>
        <v>0</v>
      </c>
      <c r="O12" s="6"/>
      <c r="P12" s="7">
        <f t="shared" si="6"/>
        <v>0</v>
      </c>
      <c r="Q12" s="6">
        <v>8</v>
      </c>
      <c r="R12" s="20">
        <f t="shared" si="7"/>
        <v>470.14925373134326</v>
      </c>
      <c r="S12" s="6">
        <v>2</v>
      </c>
      <c r="T12" s="7">
        <f t="shared" si="8"/>
        <v>266.66666666666669</v>
      </c>
      <c r="U12" s="6"/>
      <c r="V12" s="7">
        <f t="shared" si="9"/>
        <v>0</v>
      </c>
      <c r="W12" s="6">
        <v>9</v>
      </c>
      <c r="X12" s="20">
        <f t="shared" si="10"/>
        <v>557.48031496062993</v>
      </c>
      <c r="Y12" s="8">
        <f>F12+J12+X12+R12</f>
        <v>1863.702073051747</v>
      </c>
      <c r="Z12" s="6">
        <f t="shared" si="11"/>
        <v>7</v>
      </c>
      <c r="AA12" s="6">
        <f t="shared" si="12"/>
        <v>2</v>
      </c>
      <c r="AB12" s="17">
        <f t="shared" si="13"/>
        <v>0.7</v>
      </c>
    </row>
    <row r="13" spans="1:28" x14ac:dyDescent="0.3">
      <c r="A13" s="5">
        <f t="shared" si="0"/>
        <v>3</v>
      </c>
      <c r="B13" s="6" t="s">
        <v>352</v>
      </c>
      <c r="C13" s="6" t="s">
        <v>353</v>
      </c>
      <c r="D13" s="6" t="s">
        <v>387</v>
      </c>
      <c r="E13" s="6">
        <v>77</v>
      </c>
      <c r="F13" s="20">
        <f t="shared" si="1"/>
        <v>241.61073825503357</v>
      </c>
      <c r="G13" s="6">
        <v>8</v>
      </c>
      <c r="H13" s="7">
        <f t="shared" si="2"/>
        <v>142.85714285714286</v>
      </c>
      <c r="I13" s="6">
        <v>51</v>
      </c>
      <c r="J13" s="20">
        <f t="shared" si="3"/>
        <v>299.21259842519686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>
        <v>47</v>
      </c>
      <c r="R13" s="20">
        <f t="shared" si="7"/>
        <v>324.62686567164178</v>
      </c>
      <c r="S13" s="6">
        <v>7</v>
      </c>
      <c r="T13" s="7">
        <f t="shared" si="8"/>
        <v>183.33333333333334</v>
      </c>
      <c r="U13" s="6">
        <v>1</v>
      </c>
      <c r="V13" s="7">
        <f t="shared" si="9"/>
        <v>177.77777777777777</v>
      </c>
      <c r="W13" s="6">
        <f>31+36</f>
        <v>67</v>
      </c>
      <c r="X13" s="20">
        <f t="shared" si="10"/>
        <v>283.46456692913387</v>
      </c>
      <c r="Y13" s="8">
        <f>X13+R13+J13+F13</f>
        <v>1148.9147692810061</v>
      </c>
      <c r="Z13" s="6">
        <f t="shared" si="11"/>
        <v>7</v>
      </c>
      <c r="AA13" s="6">
        <f t="shared" si="12"/>
        <v>3</v>
      </c>
      <c r="AB13" s="17">
        <f t="shared" si="13"/>
        <v>0.7</v>
      </c>
    </row>
    <row r="14" spans="1:28" x14ac:dyDescent="0.3">
      <c r="A14" s="5">
        <f t="shared" si="0"/>
        <v>4</v>
      </c>
      <c r="B14" s="6" t="s">
        <v>313</v>
      </c>
      <c r="C14" s="6" t="s">
        <v>351</v>
      </c>
      <c r="D14" s="6" t="s">
        <v>387</v>
      </c>
      <c r="E14" s="6">
        <v>31</v>
      </c>
      <c r="F14" s="20">
        <f t="shared" si="1"/>
        <v>395.9731543624161</v>
      </c>
      <c r="G14" s="6">
        <v>6</v>
      </c>
      <c r="H14" s="20">
        <f t="shared" si="2"/>
        <v>157.14285714285714</v>
      </c>
      <c r="I14" s="6">
        <v>123</v>
      </c>
      <c r="J14" s="7">
        <f t="shared" si="3"/>
        <v>15.748031496062993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>
        <v>98</v>
      </c>
      <c r="R14" s="20">
        <f t="shared" si="7"/>
        <v>134.32835820895522</v>
      </c>
      <c r="S14" s="6">
        <v>6</v>
      </c>
      <c r="T14" s="20">
        <f t="shared" si="8"/>
        <v>200</v>
      </c>
      <c r="U14" s="6"/>
      <c r="V14" s="7">
        <f t="shared" si="9"/>
        <v>0</v>
      </c>
      <c r="W14" s="6">
        <f>31+90</f>
        <v>121</v>
      </c>
      <c r="X14" s="7">
        <f t="shared" si="10"/>
        <v>28.346456692913385</v>
      </c>
      <c r="Y14" s="8">
        <f>T14+R14+H14+F14</f>
        <v>887.44436971422851</v>
      </c>
      <c r="Z14" s="6">
        <f t="shared" si="11"/>
        <v>6</v>
      </c>
      <c r="AA14" s="6">
        <f t="shared" si="12"/>
        <v>4</v>
      </c>
      <c r="AB14" s="17">
        <f t="shared" si="13"/>
        <v>0.6</v>
      </c>
    </row>
    <row r="15" spans="1:28" x14ac:dyDescent="0.3">
      <c r="A15" s="5">
        <f t="shared" si="0"/>
        <v>5</v>
      </c>
      <c r="B15" s="6" t="s">
        <v>354</v>
      </c>
      <c r="C15" s="6" t="s">
        <v>355</v>
      </c>
      <c r="D15" s="6" t="s">
        <v>90</v>
      </c>
      <c r="E15" s="6">
        <v>105</v>
      </c>
      <c r="F15" s="7">
        <f t="shared" si="1"/>
        <v>147.65100671140939</v>
      </c>
      <c r="G15" s="6">
        <v>4</v>
      </c>
      <c r="H15" s="7">
        <f t="shared" si="2"/>
        <v>171.42857142857142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>
        <v>3</v>
      </c>
      <c r="T15" s="7">
        <f t="shared" si="8"/>
        <v>250</v>
      </c>
      <c r="U15" s="6">
        <v>2</v>
      </c>
      <c r="V15" s="7">
        <f t="shared" si="9"/>
        <v>155.55555555555554</v>
      </c>
      <c r="W15" s="6"/>
      <c r="X15" s="7">
        <f t="shared" si="10"/>
        <v>0</v>
      </c>
      <c r="Y15" s="8">
        <f>F15+H15+J15+L15+N15+P15+R15+T15+V15+X15</f>
        <v>724.63513369553641</v>
      </c>
      <c r="Z15" s="6">
        <f t="shared" si="11"/>
        <v>4</v>
      </c>
      <c r="AA15" s="6">
        <f t="shared" si="12"/>
        <v>5</v>
      </c>
      <c r="AB15" s="17">
        <f t="shared" si="13"/>
        <v>0.4</v>
      </c>
    </row>
    <row r="16" spans="1:28" x14ac:dyDescent="0.3">
      <c r="A16" s="5">
        <f t="shared" si="0"/>
        <v>6</v>
      </c>
      <c r="B16" s="6" t="s">
        <v>335</v>
      </c>
      <c r="C16" s="6" t="s">
        <v>336</v>
      </c>
      <c r="D16" s="6" t="s">
        <v>100</v>
      </c>
      <c r="E16" s="6">
        <v>124</v>
      </c>
      <c r="F16" s="7">
        <f t="shared" si="1"/>
        <v>83.892617449664428</v>
      </c>
      <c r="G16" s="6">
        <v>5</v>
      </c>
      <c r="H16" s="20">
        <f t="shared" si="2"/>
        <v>164.28571428571428</v>
      </c>
      <c r="I16" s="6">
        <v>102</v>
      </c>
      <c r="J16" s="7">
        <f t="shared" si="3"/>
        <v>98.425196850393704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>
        <v>82</v>
      </c>
      <c r="R16" s="20">
        <f t="shared" si="7"/>
        <v>194.02985074626866</v>
      </c>
      <c r="S16" s="6">
        <v>8</v>
      </c>
      <c r="T16" s="20">
        <f t="shared" si="8"/>
        <v>166.66666666666666</v>
      </c>
      <c r="U16" s="6"/>
      <c r="V16" s="7">
        <f t="shared" si="9"/>
        <v>0</v>
      </c>
      <c r="W16" s="6">
        <f>31+25</f>
        <v>56</v>
      </c>
      <c r="X16" s="20">
        <f t="shared" si="10"/>
        <v>335.43307086614175</v>
      </c>
      <c r="Y16" s="8">
        <f>T16+R16+X16+H16</f>
        <v>860.41530256479132</v>
      </c>
      <c r="Z16" s="6">
        <f t="shared" si="11"/>
        <v>6</v>
      </c>
      <c r="AA16" s="6">
        <f t="shared" si="12"/>
        <v>6</v>
      </c>
      <c r="AB16" s="17">
        <f t="shared" si="13"/>
        <v>0.6</v>
      </c>
    </row>
    <row r="17" spans="1:28" x14ac:dyDescent="0.3">
      <c r="A17" s="5">
        <f t="shared" si="0"/>
        <v>7</v>
      </c>
      <c r="B17" s="6" t="s">
        <v>338</v>
      </c>
      <c r="C17" s="6" t="s">
        <v>339</v>
      </c>
      <c r="D17" s="6" t="s">
        <v>388</v>
      </c>
      <c r="E17" s="6">
        <v>89</v>
      </c>
      <c r="F17" s="20">
        <f t="shared" si="1"/>
        <v>201.34228187919464</v>
      </c>
      <c r="G17" s="6">
        <v>23</v>
      </c>
      <c r="H17" s="7">
        <f t="shared" si="2"/>
        <v>35.714285714285715</v>
      </c>
      <c r="I17" s="6">
        <v>115</v>
      </c>
      <c r="J17" s="20">
        <f t="shared" si="3"/>
        <v>47.244094488188978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>
        <v>123</v>
      </c>
      <c r="R17" s="7">
        <f t="shared" si="7"/>
        <v>41.044776119402982</v>
      </c>
      <c r="S17" s="6">
        <v>5</v>
      </c>
      <c r="T17" s="20">
        <f t="shared" si="8"/>
        <v>216.66666666666666</v>
      </c>
      <c r="U17" s="6"/>
      <c r="V17" s="7">
        <f t="shared" si="9"/>
        <v>0</v>
      </c>
      <c r="W17" s="6">
        <f>31+68</f>
        <v>99</v>
      </c>
      <c r="X17" s="20">
        <f t="shared" si="10"/>
        <v>132.28346456692913</v>
      </c>
      <c r="Y17" s="8">
        <f>T17+X17+J17+F17</f>
        <v>597.53650760097946</v>
      </c>
      <c r="Z17" s="6">
        <f t="shared" si="11"/>
        <v>6</v>
      </c>
      <c r="AA17" s="6">
        <f t="shared" si="12"/>
        <v>7</v>
      </c>
      <c r="AB17" s="17">
        <f t="shared" si="13"/>
        <v>0.6</v>
      </c>
    </row>
    <row r="18" spans="1:28" x14ac:dyDescent="0.3">
      <c r="A18" s="5">
        <f t="shared" si="0"/>
        <v>8</v>
      </c>
      <c r="B18" s="6" t="s">
        <v>356</v>
      </c>
      <c r="C18" s="6" t="s">
        <v>357</v>
      </c>
      <c r="D18" s="6" t="s">
        <v>90</v>
      </c>
      <c r="E18" s="6">
        <v>133</v>
      </c>
      <c r="F18" s="7">
        <f t="shared" si="1"/>
        <v>53.691275167785236</v>
      </c>
      <c r="G18" s="6">
        <v>3</v>
      </c>
      <c r="H18" s="7">
        <f t="shared" si="2"/>
        <v>178.57142857142858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>
        <v>64</v>
      </c>
      <c r="R18" s="7">
        <f t="shared" si="7"/>
        <v>261.19402985074629</v>
      </c>
      <c r="S18" s="6"/>
      <c r="T18" s="7">
        <f t="shared" si="8"/>
        <v>0</v>
      </c>
      <c r="U18" s="6"/>
      <c r="V18" s="7">
        <f t="shared" si="9"/>
        <v>0</v>
      </c>
      <c r="W18" s="6"/>
      <c r="X18" s="7">
        <f t="shared" si="10"/>
        <v>0</v>
      </c>
      <c r="Y18" s="8">
        <f t="shared" ref="Y18:Y35" si="14">F18+H18+J18+L18+N18+P18+R18+T18+V18+X18</f>
        <v>493.45673358996009</v>
      </c>
      <c r="Z18" s="6">
        <f t="shared" si="11"/>
        <v>3</v>
      </c>
      <c r="AA18" s="6">
        <f t="shared" si="12"/>
        <v>8</v>
      </c>
      <c r="AB18" s="17">
        <f t="shared" si="13"/>
        <v>0.3</v>
      </c>
    </row>
    <row r="19" spans="1:28" x14ac:dyDescent="0.3">
      <c r="A19" s="5">
        <f t="shared" si="0"/>
        <v>9</v>
      </c>
      <c r="B19" s="6" t="s">
        <v>118</v>
      </c>
      <c r="C19" s="6" t="s">
        <v>119</v>
      </c>
      <c r="D19" s="6" t="s">
        <v>90</v>
      </c>
      <c r="E19" s="6"/>
      <c r="F19" s="7">
        <f t="shared" si="1"/>
        <v>0</v>
      </c>
      <c r="G19" s="6">
        <v>17</v>
      </c>
      <c r="H19" s="7">
        <f t="shared" si="2"/>
        <v>78.571428571428569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>
        <v>12</v>
      </c>
      <c r="T19" s="7">
        <f t="shared" si="8"/>
        <v>100</v>
      </c>
      <c r="U19" s="6">
        <v>5</v>
      </c>
      <c r="V19" s="7">
        <f t="shared" si="9"/>
        <v>88.888888888888886</v>
      </c>
      <c r="W19" s="6"/>
      <c r="X19" s="7">
        <f t="shared" si="10"/>
        <v>0</v>
      </c>
      <c r="Y19" s="8">
        <f t="shared" si="14"/>
        <v>267.46031746031747</v>
      </c>
      <c r="Z19" s="6">
        <f t="shared" si="11"/>
        <v>3</v>
      </c>
      <c r="AA19" s="6">
        <f t="shared" si="12"/>
        <v>9</v>
      </c>
      <c r="AB19" s="17">
        <f t="shared" si="13"/>
        <v>0.3</v>
      </c>
    </row>
    <row r="20" spans="1:28" x14ac:dyDescent="0.3">
      <c r="A20" s="5">
        <f t="shared" si="0"/>
        <v>10</v>
      </c>
      <c r="B20" s="6" t="s">
        <v>104</v>
      </c>
      <c r="C20" s="6" t="s">
        <v>105</v>
      </c>
      <c r="D20" s="6" t="s">
        <v>90</v>
      </c>
      <c r="E20" s="6"/>
      <c r="F20" s="7">
        <f t="shared" si="1"/>
        <v>0</v>
      </c>
      <c r="G20" s="6">
        <v>19</v>
      </c>
      <c r="H20" s="7">
        <f t="shared" si="2"/>
        <v>64.285714285714292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>
        <v>14</v>
      </c>
      <c r="T20" s="7">
        <f t="shared" si="8"/>
        <v>66.666666666666671</v>
      </c>
      <c r="U20" s="6">
        <v>3</v>
      </c>
      <c r="V20" s="7">
        <f t="shared" si="9"/>
        <v>133.33333333333334</v>
      </c>
      <c r="W20" s="6"/>
      <c r="X20" s="7">
        <f t="shared" si="10"/>
        <v>0</v>
      </c>
      <c r="Y20" s="8">
        <f t="shared" si="14"/>
        <v>264.28571428571433</v>
      </c>
      <c r="Z20" s="6">
        <f t="shared" si="11"/>
        <v>3</v>
      </c>
      <c r="AA20" s="6">
        <f t="shared" si="12"/>
        <v>10</v>
      </c>
      <c r="AB20" s="17">
        <f t="shared" si="13"/>
        <v>0.3</v>
      </c>
    </row>
    <row r="21" spans="1:28" x14ac:dyDescent="0.3">
      <c r="A21" s="5">
        <f t="shared" si="0"/>
        <v>11</v>
      </c>
      <c r="B21" s="6" t="s">
        <v>110</v>
      </c>
      <c r="C21" s="6" t="s">
        <v>109</v>
      </c>
      <c r="D21" s="6" t="s">
        <v>111</v>
      </c>
      <c r="E21" s="6"/>
      <c r="F21" s="7">
        <f t="shared" si="1"/>
        <v>0</v>
      </c>
      <c r="G21" s="6">
        <v>13</v>
      </c>
      <c r="H21" s="7">
        <f t="shared" si="2"/>
        <v>107.14285714285714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>
        <v>9</v>
      </c>
      <c r="T21" s="7">
        <f t="shared" si="8"/>
        <v>150</v>
      </c>
      <c r="U21" s="6"/>
      <c r="V21" s="7">
        <f t="shared" si="9"/>
        <v>0</v>
      </c>
      <c r="W21" s="6"/>
      <c r="X21" s="7">
        <f t="shared" si="10"/>
        <v>0</v>
      </c>
      <c r="Y21" s="8">
        <f t="shared" si="14"/>
        <v>257.14285714285711</v>
      </c>
      <c r="Z21" s="6">
        <f t="shared" si="11"/>
        <v>2</v>
      </c>
      <c r="AA21" s="6">
        <f t="shared" si="12"/>
        <v>11</v>
      </c>
      <c r="AB21" s="17">
        <f t="shared" si="13"/>
        <v>0.2</v>
      </c>
    </row>
    <row r="22" spans="1:28" x14ac:dyDescent="0.3">
      <c r="A22" s="5">
        <f t="shared" si="0"/>
        <v>12</v>
      </c>
      <c r="B22" s="6" t="s">
        <v>93</v>
      </c>
      <c r="C22" s="6" t="s">
        <v>92</v>
      </c>
      <c r="D22" s="6" t="s">
        <v>91</v>
      </c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>
        <v>3</v>
      </c>
      <c r="T22" s="7">
        <f t="shared" si="8"/>
        <v>250</v>
      </c>
      <c r="U22" s="6"/>
      <c r="V22" s="7">
        <f t="shared" si="9"/>
        <v>0</v>
      </c>
      <c r="W22" s="6"/>
      <c r="X22" s="7">
        <f t="shared" si="10"/>
        <v>0</v>
      </c>
      <c r="Y22" s="8">
        <f t="shared" si="14"/>
        <v>250</v>
      </c>
      <c r="Z22" s="6">
        <f t="shared" si="11"/>
        <v>1</v>
      </c>
      <c r="AA22" s="6">
        <f t="shared" si="12"/>
        <v>12</v>
      </c>
      <c r="AB22" s="17">
        <f t="shared" si="13"/>
        <v>0.1</v>
      </c>
    </row>
    <row r="23" spans="1:28" x14ac:dyDescent="0.3">
      <c r="A23" s="5">
        <f t="shared" si="0"/>
        <v>13</v>
      </c>
      <c r="B23" s="6" t="s">
        <v>383</v>
      </c>
      <c r="C23" s="6" t="s">
        <v>384</v>
      </c>
      <c r="D23" s="6" t="s">
        <v>387</v>
      </c>
      <c r="E23" s="6"/>
      <c r="F23" s="7">
        <f t="shared" si="1"/>
        <v>0</v>
      </c>
      <c r="G23" s="6">
        <v>14</v>
      </c>
      <c r="H23" s="7">
        <f t="shared" si="2"/>
        <v>100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>
        <v>10</v>
      </c>
      <c r="T23" s="7">
        <f t="shared" si="8"/>
        <v>133.33333333333334</v>
      </c>
      <c r="U23" s="6"/>
      <c r="V23" s="7">
        <f t="shared" si="9"/>
        <v>0</v>
      </c>
      <c r="W23" s="6"/>
      <c r="X23" s="7">
        <f t="shared" si="10"/>
        <v>0</v>
      </c>
      <c r="Y23" s="8">
        <f t="shared" si="14"/>
        <v>233.33333333333334</v>
      </c>
      <c r="Z23" s="6">
        <f t="shared" si="11"/>
        <v>2</v>
      </c>
      <c r="AA23" s="6">
        <f t="shared" si="12"/>
        <v>13</v>
      </c>
      <c r="AB23" s="17">
        <f t="shared" si="13"/>
        <v>0.2</v>
      </c>
    </row>
    <row r="24" spans="1:28" x14ac:dyDescent="0.3">
      <c r="A24" s="5">
        <f t="shared" si="0"/>
        <v>14</v>
      </c>
      <c r="B24" s="6" t="s">
        <v>543</v>
      </c>
      <c r="C24" s="6" t="s">
        <v>407</v>
      </c>
      <c r="D24" s="6" t="s">
        <v>388</v>
      </c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5"/>
        <v>0</v>
      </c>
      <c r="O24" s="6"/>
      <c r="P24" s="7">
        <f t="shared" si="6"/>
        <v>0</v>
      </c>
      <c r="Q24" s="6">
        <v>82</v>
      </c>
      <c r="R24" s="7">
        <f t="shared" si="7"/>
        <v>194.02985074626866</v>
      </c>
      <c r="S24" s="6">
        <v>17</v>
      </c>
      <c r="T24" s="7">
        <f t="shared" si="8"/>
        <v>16.666666666666668</v>
      </c>
      <c r="U24" s="6"/>
      <c r="V24" s="7">
        <f t="shared" si="9"/>
        <v>0</v>
      </c>
      <c r="W24" s="6"/>
      <c r="X24" s="7">
        <f t="shared" si="10"/>
        <v>0</v>
      </c>
      <c r="Y24" s="8">
        <f t="shared" si="14"/>
        <v>210.69651741293532</v>
      </c>
      <c r="Z24" s="6">
        <f t="shared" si="11"/>
        <v>2</v>
      </c>
      <c r="AA24" s="6">
        <f t="shared" si="12"/>
        <v>14</v>
      </c>
      <c r="AB24" s="17">
        <f t="shared" si="13"/>
        <v>0.2</v>
      </c>
    </row>
    <row r="25" spans="1:28" x14ac:dyDescent="0.3">
      <c r="A25" s="5">
        <f t="shared" si="0"/>
        <v>15</v>
      </c>
      <c r="B25" s="6" t="s">
        <v>385</v>
      </c>
      <c r="C25" s="6" t="s">
        <v>386</v>
      </c>
      <c r="D25" s="6" t="s">
        <v>90</v>
      </c>
      <c r="E25" s="6"/>
      <c r="F25" s="7">
        <f t="shared" si="1"/>
        <v>0</v>
      </c>
      <c r="G25" s="6">
        <v>15</v>
      </c>
      <c r="H25" s="7">
        <f t="shared" si="2"/>
        <v>92.857142857142861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6">
        <v>16</v>
      </c>
      <c r="T25" s="7">
        <f t="shared" si="8"/>
        <v>33.333333333333336</v>
      </c>
      <c r="U25" s="6">
        <v>9</v>
      </c>
      <c r="V25" s="7">
        <f>22/2</f>
        <v>11</v>
      </c>
      <c r="W25" s="6"/>
      <c r="X25" s="7">
        <f t="shared" si="10"/>
        <v>0</v>
      </c>
      <c r="Y25" s="8">
        <f t="shared" si="14"/>
        <v>137.1904761904762</v>
      </c>
      <c r="Z25" s="6">
        <f t="shared" si="11"/>
        <v>3</v>
      </c>
      <c r="AA25" s="6">
        <f t="shared" si="12"/>
        <v>15</v>
      </c>
      <c r="AB25" s="17">
        <f t="shared" si="13"/>
        <v>0.3</v>
      </c>
    </row>
    <row r="26" spans="1:28" x14ac:dyDescent="0.3">
      <c r="A26" s="5">
        <f t="shared" si="0"/>
        <v>16</v>
      </c>
      <c r="B26" s="6" t="s">
        <v>112</v>
      </c>
      <c r="C26" s="6" t="s">
        <v>113</v>
      </c>
      <c r="D26" s="6" t="s">
        <v>91</v>
      </c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>
        <v>3</v>
      </c>
      <c r="V26" s="7">
        <f t="shared" ref="V26:V35" si="15">IF(U26=0,,($U$9-U26)*$U$7*100/$U$9)</f>
        <v>133.33333333333334</v>
      </c>
      <c r="W26" s="6"/>
      <c r="X26" s="7">
        <f t="shared" si="10"/>
        <v>0</v>
      </c>
      <c r="Y26" s="8">
        <f t="shared" si="14"/>
        <v>133.33333333333334</v>
      </c>
      <c r="Z26" s="6">
        <f>COUNTA(D26,G26,I26,K26,M26,Q26,U26,W26,S26)</f>
        <v>2</v>
      </c>
      <c r="AA26" s="6">
        <f t="shared" si="12"/>
        <v>16</v>
      </c>
      <c r="AB26" s="17">
        <f t="shared" si="13"/>
        <v>0.2</v>
      </c>
    </row>
    <row r="27" spans="1:28" x14ac:dyDescent="0.3">
      <c r="A27" s="5">
        <f t="shared" si="0"/>
        <v>17</v>
      </c>
      <c r="B27" s="6" t="s">
        <v>389</v>
      </c>
      <c r="C27" s="6" t="s">
        <v>304</v>
      </c>
      <c r="D27" s="6" t="s">
        <v>116</v>
      </c>
      <c r="E27" s="6"/>
      <c r="F27" s="7">
        <f t="shared" si="1"/>
        <v>0</v>
      </c>
      <c r="G27" s="6">
        <v>18</v>
      </c>
      <c r="H27" s="7">
        <f t="shared" si="2"/>
        <v>71.428571428571431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>
        <v>15</v>
      </c>
      <c r="T27" s="7">
        <f t="shared" si="8"/>
        <v>50</v>
      </c>
      <c r="U27" s="6"/>
      <c r="V27" s="7">
        <f t="shared" si="15"/>
        <v>0</v>
      </c>
      <c r="W27" s="6"/>
      <c r="X27" s="7">
        <f t="shared" si="10"/>
        <v>0</v>
      </c>
      <c r="Y27" s="8">
        <f t="shared" si="14"/>
        <v>121.42857142857143</v>
      </c>
      <c r="Z27" s="6">
        <f t="shared" ref="Z27:Z45" si="16">COUNTA(E27,G27,I27,K27,M27,Q27,U27,W27,S27)</f>
        <v>2</v>
      </c>
      <c r="AA27" s="6">
        <f t="shared" si="12"/>
        <v>17</v>
      </c>
      <c r="AB27" s="17">
        <f t="shared" si="13"/>
        <v>0.2</v>
      </c>
    </row>
    <row r="28" spans="1:28" x14ac:dyDescent="0.3">
      <c r="A28" s="5">
        <f t="shared" si="0"/>
        <v>18</v>
      </c>
      <c r="B28" s="6" t="s">
        <v>124</v>
      </c>
      <c r="C28" s="6" t="s">
        <v>125</v>
      </c>
      <c r="D28" s="6" t="s">
        <v>100</v>
      </c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>
        <v>11</v>
      </c>
      <c r="T28" s="7">
        <f t="shared" si="8"/>
        <v>116.66666666666667</v>
      </c>
      <c r="U28" s="6"/>
      <c r="V28" s="7">
        <f t="shared" si="15"/>
        <v>0</v>
      </c>
      <c r="W28" s="6"/>
      <c r="X28" s="7">
        <f t="shared" si="10"/>
        <v>0</v>
      </c>
      <c r="Y28" s="8">
        <f t="shared" si="14"/>
        <v>116.66666666666667</v>
      </c>
      <c r="Z28" s="6">
        <f t="shared" si="16"/>
        <v>1</v>
      </c>
      <c r="AA28" s="6">
        <f t="shared" si="12"/>
        <v>18</v>
      </c>
      <c r="AB28" s="17">
        <f t="shared" si="13"/>
        <v>0.1</v>
      </c>
    </row>
    <row r="29" spans="1:28" x14ac:dyDescent="0.3">
      <c r="A29" s="5">
        <f t="shared" si="0"/>
        <v>19</v>
      </c>
      <c r="B29" s="6" t="s">
        <v>130</v>
      </c>
      <c r="C29" s="6" t="s">
        <v>131</v>
      </c>
      <c r="D29" s="6" t="s">
        <v>117</v>
      </c>
      <c r="E29" s="6"/>
      <c r="F29" s="7">
        <f t="shared" si="1"/>
        <v>0</v>
      </c>
      <c r="G29" s="6">
        <v>16</v>
      </c>
      <c r="H29" s="7">
        <f t="shared" si="2"/>
        <v>85.714285714285708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>
        <v>8</v>
      </c>
      <c r="V29" s="7">
        <f t="shared" si="15"/>
        <v>22.222222222222221</v>
      </c>
      <c r="W29" s="6"/>
      <c r="X29" s="7">
        <f t="shared" si="10"/>
        <v>0</v>
      </c>
      <c r="Y29" s="8">
        <f t="shared" si="14"/>
        <v>107.93650793650792</v>
      </c>
      <c r="Z29" s="6">
        <f t="shared" si="16"/>
        <v>2</v>
      </c>
      <c r="AA29" s="6">
        <f t="shared" si="12"/>
        <v>19</v>
      </c>
      <c r="AB29" s="17">
        <f t="shared" si="13"/>
        <v>0.2</v>
      </c>
    </row>
    <row r="30" spans="1:28" x14ac:dyDescent="0.3">
      <c r="A30" s="5">
        <f t="shared" si="0"/>
        <v>20</v>
      </c>
      <c r="B30" s="6" t="s">
        <v>126</v>
      </c>
      <c r="C30" s="6" t="s">
        <v>544</v>
      </c>
      <c r="D30" s="6" t="s">
        <v>116</v>
      </c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6">
        <v>13</v>
      </c>
      <c r="T30" s="7">
        <f t="shared" si="8"/>
        <v>83.333333333333329</v>
      </c>
      <c r="U30" s="6"/>
      <c r="V30" s="7">
        <f t="shared" si="15"/>
        <v>0</v>
      </c>
      <c r="W30" s="6"/>
      <c r="X30" s="7">
        <f t="shared" si="10"/>
        <v>0</v>
      </c>
      <c r="Y30" s="8">
        <f t="shared" si="14"/>
        <v>83.333333333333329</v>
      </c>
      <c r="Z30" s="6">
        <f t="shared" si="16"/>
        <v>1</v>
      </c>
      <c r="AA30" s="6">
        <f t="shared" si="12"/>
        <v>20</v>
      </c>
      <c r="AB30" s="17">
        <f t="shared" si="13"/>
        <v>0.1</v>
      </c>
    </row>
    <row r="31" spans="1:28" x14ac:dyDescent="0.3">
      <c r="A31" s="5">
        <f t="shared" si="0"/>
        <v>21</v>
      </c>
      <c r="B31" s="6" t="s">
        <v>128</v>
      </c>
      <c r="C31" s="6" t="s">
        <v>571</v>
      </c>
      <c r="D31" s="6" t="s">
        <v>116</v>
      </c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>
        <v>6</v>
      </c>
      <c r="V31" s="7">
        <f t="shared" si="15"/>
        <v>66.666666666666671</v>
      </c>
      <c r="W31" s="6"/>
      <c r="X31" s="7">
        <f t="shared" si="10"/>
        <v>0</v>
      </c>
      <c r="Y31" s="8">
        <f t="shared" si="14"/>
        <v>66.666666666666671</v>
      </c>
      <c r="Z31" s="6">
        <f t="shared" si="16"/>
        <v>1</v>
      </c>
      <c r="AA31" s="6">
        <f t="shared" si="12"/>
        <v>21</v>
      </c>
      <c r="AB31" s="17">
        <f t="shared" si="13"/>
        <v>0.1</v>
      </c>
    </row>
    <row r="32" spans="1:28" x14ac:dyDescent="0.3">
      <c r="A32" s="5">
        <f t="shared" si="0"/>
        <v>22</v>
      </c>
      <c r="B32" s="6" t="s">
        <v>138</v>
      </c>
      <c r="C32" s="6" t="s">
        <v>139</v>
      </c>
      <c r="D32" s="6" t="s">
        <v>117</v>
      </c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4"/>
        <v>0</v>
      </c>
      <c r="M32" s="6"/>
      <c r="N32" s="7">
        <f t="shared" si="5"/>
        <v>0</v>
      </c>
      <c r="O32" s="6"/>
      <c r="P32" s="7">
        <f t="shared" si="6"/>
        <v>0</v>
      </c>
      <c r="Q32" s="6">
        <v>134</v>
      </c>
      <c r="R32" s="7">
        <f>4/2</f>
        <v>2</v>
      </c>
      <c r="S32" s="6"/>
      <c r="T32" s="7">
        <f t="shared" si="8"/>
        <v>0</v>
      </c>
      <c r="U32" s="6">
        <v>7</v>
      </c>
      <c r="V32" s="7">
        <f t="shared" si="15"/>
        <v>44.444444444444443</v>
      </c>
      <c r="W32" s="6"/>
      <c r="X32" s="7">
        <f t="shared" si="10"/>
        <v>0</v>
      </c>
      <c r="Y32" s="8">
        <f t="shared" si="14"/>
        <v>46.444444444444443</v>
      </c>
      <c r="Z32" s="6">
        <f t="shared" si="16"/>
        <v>2</v>
      </c>
      <c r="AA32" s="6">
        <f t="shared" si="12"/>
        <v>22</v>
      </c>
      <c r="AB32" s="17">
        <f t="shared" si="13"/>
        <v>0.2</v>
      </c>
    </row>
    <row r="33" spans="1:28" x14ac:dyDescent="0.3">
      <c r="A33" s="5">
        <f t="shared" si="0"/>
        <v>23</v>
      </c>
      <c r="B33" s="6" t="s">
        <v>390</v>
      </c>
      <c r="C33" s="6" t="s">
        <v>391</v>
      </c>
      <c r="D33" s="6" t="s">
        <v>116</v>
      </c>
      <c r="E33" s="6"/>
      <c r="F33" s="7">
        <f t="shared" si="1"/>
        <v>0</v>
      </c>
      <c r="G33" s="6">
        <v>24</v>
      </c>
      <c r="H33" s="7">
        <f t="shared" si="2"/>
        <v>28.571428571428573</v>
      </c>
      <c r="I33" s="6"/>
      <c r="J33" s="7">
        <f t="shared" si="3"/>
        <v>0</v>
      </c>
      <c r="K33" s="6"/>
      <c r="L33" s="7">
        <f t="shared" si="4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>IF(Q33=0,,($Q$9-Q33)*$Q$7*100/$Q$9)</f>
        <v>0</v>
      </c>
      <c r="S33" s="6">
        <v>18</v>
      </c>
      <c r="T33" s="7">
        <f>17/2</f>
        <v>8.5</v>
      </c>
      <c r="U33" s="6"/>
      <c r="V33" s="7">
        <f t="shared" si="15"/>
        <v>0</v>
      </c>
      <c r="W33" s="6"/>
      <c r="X33" s="7">
        <f t="shared" si="10"/>
        <v>0</v>
      </c>
      <c r="Y33" s="8">
        <f t="shared" si="14"/>
        <v>37.071428571428569</v>
      </c>
      <c r="Z33" s="6">
        <f t="shared" si="16"/>
        <v>2</v>
      </c>
      <c r="AA33" s="6">
        <f t="shared" si="12"/>
        <v>23</v>
      </c>
      <c r="AB33" s="17">
        <f t="shared" si="13"/>
        <v>0.2</v>
      </c>
    </row>
    <row r="34" spans="1:28" x14ac:dyDescent="0.3">
      <c r="A34" s="5">
        <f t="shared" si="0"/>
        <v>24</v>
      </c>
      <c r="B34" s="6" t="s">
        <v>392</v>
      </c>
      <c r="C34" s="6" t="s">
        <v>371</v>
      </c>
      <c r="D34" s="6" t="s">
        <v>103</v>
      </c>
      <c r="F34" s="7">
        <f t="shared" si="1"/>
        <v>0</v>
      </c>
      <c r="G34" s="6">
        <v>26</v>
      </c>
      <c r="H34" s="7">
        <f t="shared" si="2"/>
        <v>14.285714285714286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 t="shared" si="15"/>
        <v>0</v>
      </c>
      <c r="W34" s="6"/>
      <c r="X34" s="7">
        <f t="shared" si="10"/>
        <v>0</v>
      </c>
      <c r="Y34" s="8">
        <f t="shared" si="14"/>
        <v>14.285714285714286</v>
      </c>
      <c r="Z34" s="6">
        <f t="shared" si="16"/>
        <v>1</v>
      </c>
      <c r="AA34" s="6">
        <f t="shared" si="12"/>
        <v>24</v>
      </c>
      <c r="AB34" s="17">
        <f t="shared" si="13"/>
        <v>0.1</v>
      </c>
    </row>
    <row r="35" spans="1:28" x14ac:dyDescent="0.3">
      <c r="A35" s="5">
        <f t="shared" si="0"/>
        <v>25</v>
      </c>
      <c r="B35" s="6" t="s">
        <v>393</v>
      </c>
      <c r="C35" s="6" t="s">
        <v>394</v>
      </c>
      <c r="D35" s="6" t="s">
        <v>90</v>
      </c>
      <c r="E35" s="6"/>
      <c r="F35" s="7">
        <f t="shared" si="1"/>
        <v>0</v>
      </c>
      <c r="G35" s="6">
        <v>27</v>
      </c>
      <c r="H35" s="7">
        <f t="shared" si="2"/>
        <v>7.1428571428571432</v>
      </c>
      <c r="I35" s="6"/>
      <c r="J35" s="7">
        <f t="shared" si="3"/>
        <v>0</v>
      </c>
      <c r="K35" s="6"/>
      <c r="L35" s="7">
        <f t="shared" si="4"/>
        <v>0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>IF(Q35=0,,($Q$9-Q35)*$Q$7*100/$Q$9)</f>
        <v>0</v>
      </c>
      <c r="S35" s="6"/>
      <c r="T35" s="7">
        <f>IF(S35=0,,($S$9-S35)*$S$7*100/$S$9)</f>
        <v>0</v>
      </c>
      <c r="U35" s="6"/>
      <c r="V35" s="7">
        <f t="shared" si="15"/>
        <v>0</v>
      </c>
      <c r="W35" s="6"/>
      <c r="X35" s="7">
        <f t="shared" si="10"/>
        <v>0</v>
      </c>
      <c r="Y35" s="8">
        <f t="shared" si="14"/>
        <v>7.1428571428571432</v>
      </c>
      <c r="Z35" s="6">
        <f t="shared" si="16"/>
        <v>1</v>
      </c>
      <c r="AA35" s="6">
        <f t="shared" si="12"/>
        <v>25</v>
      </c>
      <c r="AB35" s="17">
        <f t="shared" si="13"/>
        <v>0.1</v>
      </c>
    </row>
    <row r="36" spans="1:28" x14ac:dyDescent="0.3">
      <c r="A36" s="5">
        <f t="shared" ref="A36:A39" si="17">AA36</f>
        <v>26</v>
      </c>
      <c r="B36" s="6"/>
      <c r="C36" s="6"/>
      <c r="D36" s="6"/>
      <c r="E36" s="6"/>
      <c r="F36" s="7">
        <f t="shared" ref="F36:F45" si="18">IF(E36=0,,($E$9-E36)*$E$7*100/$E$9)</f>
        <v>0</v>
      </c>
      <c r="G36" s="6"/>
      <c r="H36" s="7">
        <f t="shared" ref="H36:H39" si="19">IF(G36=0,,($G$9-G36)*$G$7*100/$G$9)</f>
        <v>0</v>
      </c>
      <c r="I36" s="6"/>
      <c r="J36" s="7">
        <f t="shared" ref="J36:J39" si="20">IF(I36=0,,($I$9-I36)*$I$7*100/$I$9)</f>
        <v>0</v>
      </c>
      <c r="K36" s="6"/>
      <c r="L36" s="7">
        <f t="shared" ref="L36:L39" si="21">IF(K36=0,,($K$9-K36)*$K$7*100/$K$9)</f>
        <v>0</v>
      </c>
      <c r="M36" s="6"/>
      <c r="N36" s="7">
        <f t="shared" ref="N36:N39" si="22">IF(M36=0,,($M$9-M36)*$M$7*100/$M$9)</f>
        <v>0</v>
      </c>
      <c r="O36" s="6"/>
      <c r="P36" s="7">
        <f t="shared" ref="P36:P39" si="23">IF(O36=0,,($M$9-O36)*$M$7*100/$M$9)</f>
        <v>0</v>
      </c>
      <c r="Q36" s="6"/>
      <c r="R36" s="7">
        <f>IF(Q36=0,,($Q$9-Q36)*$Q$7*100/$Q$9)</f>
        <v>0</v>
      </c>
      <c r="S36" s="6"/>
      <c r="T36" s="7">
        <f t="shared" ref="T36:T39" si="24">IF(S36=0,,($S$9-S36)*$S$7*100/$S$9)</f>
        <v>0</v>
      </c>
      <c r="U36" s="6"/>
      <c r="V36" s="7">
        <f t="shared" ref="V36:V39" si="25">IF(U36=0,,($U$9-U36)*$U$7*100/$U$9)</f>
        <v>0</v>
      </c>
      <c r="W36" s="6"/>
      <c r="X36" s="7">
        <f t="shared" ref="X36:X39" si="26">IF(W36=0,,($W$9-W36)*$W$7*100/$W$9)</f>
        <v>0</v>
      </c>
      <c r="Y36" s="8">
        <f t="shared" ref="Y36:Y45" si="27">F36+H36+J36+L36+N36+P36+R36+T36+V36+X36</f>
        <v>0</v>
      </c>
      <c r="Z36" s="6">
        <f t="shared" si="16"/>
        <v>0</v>
      </c>
      <c r="AA36" s="6">
        <f t="shared" ref="AA36:AA39" si="28">ROW(B36)-10</f>
        <v>26</v>
      </c>
      <c r="AB36" s="17">
        <f t="shared" si="13"/>
        <v>0</v>
      </c>
    </row>
    <row r="37" spans="1:28" x14ac:dyDescent="0.3">
      <c r="A37" s="5">
        <f t="shared" si="17"/>
        <v>27</v>
      </c>
      <c r="B37" s="6"/>
      <c r="C37" s="6"/>
      <c r="D37" s="6"/>
      <c r="E37" s="6"/>
      <c r="F37" s="7">
        <f t="shared" si="18"/>
        <v>0</v>
      </c>
      <c r="G37" s="6"/>
      <c r="H37" s="7">
        <f t="shared" si="19"/>
        <v>0</v>
      </c>
      <c r="I37" s="6"/>
      <c r="J37" s="7">
        <f t="shared" si="20"/>
        <v>0</v>
      </c>
      <c r="K37" s="6"/>
      <c r="L37" s="7">
        <f t="shared" si="21"/>
        <v>0</v>
      </c>
      <c r="M37" s="6"/>
      <c r="N37" s="7">
        <f t="shared" si="22"/>
        <v>0</v>
      </c>
      <c r="O37" s="6"/>
      <c r="P37" s="7">
        <f t="shared" si="23"/>
        <v>0</v>
      </c>
      <c r="Q37" s="6"/>
      <c r="R37" s="7">
        <f>IF(Q37=0,,($Q$9-Q37)*$Q$7*100/$Q$9)</f>
        <v>0</v>
      </c>
      <c r="S37" s="6"/>
      <c r="T37" s="7">
        <f t="shared" si="24"/>
        <v>0</v>
      </c>
      <c r="U37" s="6"/>
      <c r="V37" s="7">
        <f t="shared" si="25"/>
        <v>0</v>
      </c>
      <c r="W37" s="6"/>
      <c r="X37" s="7">
        <f t="shared" si="26"/>
        <v>0</v>
      </c>
      <c r="Y37" s="8">
        <f t="shared" si="27"/>
        <v>0</v>
      </c>
      <c r="Z37" s="6">
        <f t="shared" si="16"/>
        <v>0</v>
      </c>
      <c r="AA37" s="6">
        <f t="shared" si="28"/>
        <v>27</v>
      </c>
      <c r="AB37" s="17">
        <f t="shared" si="13"/>
        <v>0</v>
      </c>
    </row>
    <row r="38" spans="1:28" x14ac:dyDescent="0.3">
      <c r="A38" s="5">
        <f t="shared" si="17"/>
        <v>28</v>
      </c>
      <c r="B38" s="6"/>
      <c r="C38" s="6"/>
      <c r="D38" s="6"/>
      <c r="E38" s="6"/>
      <c r="F38" s="7">
        <f t="shared" si="18"/>
        <v>0</v>
      </c>
      <c r="G38" s="6"/>
      <c r="H38" s="7">
        <f t="shared" si="19"/>
        <v>0</v>
      </c>
      <c r="I38" s="6"/>
      <c r="J38" s="7">
        <f t="shared" si="20"/>
        <v>0</v>
      </c>
      <c r="K38" s="6"/>
      <c r="L38" s="7">
        <f t="shared" si="21"/>
        <v>0</v>
      </c>
      <c r="M38" s="6"/>
      <c r="N38" s="7">
        <f t="shared" si="22"/>
        <v>0</v>
      </c>
      <c r="O38" s="6"/>
      <c r="P38" s="7">
        <f t="shared" si="23"/>
        <v>0</v>
      </c>
      <c r="Q38" s="6"/>
      <c r="R38" s="7">
        <f>R37/2</f>
        <v>0</v>
      </c>
      <c r="S38" s="6"/>
      <c r="T38" s="7">
        <f t="shared" si="24"/>
        <v>0</v>
      </c>
      <c r="U38" s="6"/>
      <c r="V38" s="7">
        <f t="shared" si="25"/>
        <v>0</v>
      </c>
      <c r="W38" s="6"/>
      <c r="X38" s="7">
        <f t="shared" si="26"/>
        <v>0</v>
      </c>
      <c r="Y38" s="8">
        <f t="shared" si="27"/>
        <v>0</v>
      </c>
      <c r="Z38" s="6">
        <f t="shared" si="16"/>
        <v>0</v>
      </c>
      <c r="AA38" s="6">
        <f t="shared" si="28"/>
        <v>28</v>
      </c>
      <c r="AB38" s="17">
        <f t="shared" si="13"/>
        <v>0</v>
      </c>
    </row>
    <row r="39" spans="1:28" x14ac:dyDescent="0.3">
      <c r="A39" s="5">
        <f t="shared" si="1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9"/>
        <v>0</v>
      </c>
      <c r="I39" s="6"/>
      <c r="J39" s="7">
        <f t="shared" si="20"/>
        <v>0</v>
      </c>
      <c r="K39" s="6"/>
      <c r="L39" s="7">
        <f t="shared" si="21"/>
        <v>0</v>
      </c>
      <c r="M39" s="6"/>
      <c r="N39" s="7">
        <f t="shared" si="22"/>
        <v>0</v>
      </c>
      <c r="O39" s="6"/>
      <c r="P39" s="7">
        <f t="shared" si="23"/>
        <v>0</v>
      </c>
      <c r="Q39" s="6"/>
      <c r="R39" s="7">
        <f>IF(Q39=0,,($Q$9-Q39)*$Q$7*100/$Q$9)</f>
        <v>0</v>
      </c>
      <c r="S39" s="6"/>
      <c r="T39" s="7">
        <f t="shared" si="24"/>
        <v>0</v>
      </c>
      <c r="U39" s="6"/>
      <c r="V39" s="7">
        <f t="shared" si="25"/>
        <v>0</v>
      </c>
      <c r="W39" s="6"/>
      <c r="X39" s="7">
        <f t="shared" si="26"/>
        <v>0</v>
      </c>
      <c r="Y39" s="8">
        <f t="shared" si="27"/>
        <v>0</v>
      </c>
      <c r="Z39" s="6">
        <f t="shared" si="16"/>
        <v>0</v>
      </c>
      <c r="AA39" s="6">
        <f t="shared" si="28"/>
        <v>29</v>
      </c>
      <c r="AB39" s="17">
        <f t="shared" si="13"/>
        <v>0</v>
      </c>
    </row>
    <row r="40" spans="1:28" x14ac:dyDescent="0.3">
      <c r="A40" s="5">
        <f t="shared" ref="A40:A45" si="29">AA40</f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ref="H40:H45" si="30">IF(G40=0,,($G$9-G40)*$G$7*100/$G$9)</f>
        <v>0</v>
      </c>
      <c r="I40" s="6"/>
      <c r="J40" s="7">
        <f t="shared" ref="J40:J45" si="31">IF(I40=0,,($I$9-I40)*$I$7*100/$I$9)</f>
        <v>0</v>
      </c>
      <c r="K40" s="6"/>
      <c r="L40" s="7">
        <f t="shared" ref="L40:L45" si="32">IF(K40=0,,($K$9-K40)*$K$7*100/$K$9)</f>
        <v>0</v>
      </c>
      <c r="M40" s="6"/>
      <c r="N40" s="7">
        <f t="shared" ref="N40:N45" si="33">IF(M40=0,,($M$9-M40)*$M$7*100/$M$9)</f>
        <v>0</v>
      </c>
      <c r="O40" s="6"/>
      <c r="P40" s="7">
        <f t="shared" ref="P40:P45" si="34">IF(O40=0,,($M$9-O40)*$M$7*100/$M$9)</f>
        <v>0</v>
      </c>
      <c r="Q40" s="6"/>
      <c r="R40" s="7">
        <f>IF(Q40=0,,($Q$9-Q40)*$Q$7*100/$Q$9)</f>
        <v>0</v>
      </c>
      <c r="S40" s="6"/>
      <c r="T40" s="7">
        <f t="shared" ref="T40:T45" si="35">IF(S40=0,,($S$9-S40)*$S$7*100/$S$9)</f>
        <v>0</v>
      </c>
      <c r="U40" s="6"/>
      <c r="V40" s="7">
        <f t="shared" ref="V40:V45" si="36">IF(U40=0,,($U$9-U40)*$U$7*100/$U$9)</f>
        <v>0</v>
      </c>
      <c r="W40" s="6"/>
      <c r="X40" s="7">
        <f t="shared" ref="X40:X45" si="37">IF(W40=0,,($W$9-W40)*$W$7*100/$W$9)</f>
        <v>0</v>
      </c>
      <c r="Y40" s="8">
        <f t="shared" si="27"/>
        <v>0</v>
      </c>
      <c r="Z40" s="6">
        <f t="shared" si="16"/>
        <v>0</v>
      </c>
      <c r="AA40" s="6">
        <f t="shared" ref="AA40:AA45" si="38">ROW(B40)-10</f>
        <v>30</v>
      </c>
      <c r="AB40" s="17">
        <f t="shared" si="13"/>
        <v>0</v>
      </c>
    </row>
    <row r="41" spans="1:28" x14ac:dyDescent="0.3">
      <c r="A41" s="5">
        <f t="shared" si="29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30"/>
        <v>0</v>
      </c>
      <c r="I41" s="6"/>
      <c r="J41" s="7">
        <f t="shared" si="31"/>
        <v>0</v>
      </c>
      <c r="K41" s="6"/>
      <c r="L41" s="7">
        <f t="shared" si="32"/>
        <v>0</v>
      </c>
      <c r="M41" s="6"/>
      <c r="N41" s="7">
        <f t="shared" si="33"/>
        <v>0</v>
      </c>
      <c r="O41" s="6"/>
      <c r="P41" s="7">
        <f t="shared" si="34"/>
        <v>0</v>
      </c>
      <c r="Q41" s="6"/>
      <c r="R41" s="7">
        <f>IF(Q41=0,,($Q$9-Q41)*$Q$7*100/$Q$9)</f>
        <v>0</v>
      </c>
      <c r="S41" s="6"/>
      <c r="T41" s="7">
        <f t="shared" si="35"/>
        <v>0</v>
      </c>
      <c r="U41" s="6"/>
      <c r="V41" s="7">
        <f t="shared" si="36"/>
        <v>0</v>
      </c>
      <c r="W41" s="6"/>
      <c r="X41" s="7">
        <f t="shared" si="37"/>
        <v>0</v>
      </c>
      <c r="Y41" s="8">
        <f t="shared" si="27"/>
        <v>0</v>
      </c>
      <c r="Z41" s="6">
        <f t="shared" si="16"/>
        <v>0</v>
      </c>
      <c r="AA41" s="6">
        <f t="shared" si="38"/>
        <v>31</v>
      </c>
      <c r="AB41" s="17">
        <f t="shared" si="13"/>
        <v>0</v>
      </c>
    </row>
    <row r="42" spans="1:28" x14ac:dyDescent="0.3">
      <c r="A42" s="5">
        <f t="shared" si="29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30"/>
        <v>0</v>
      </c>
      <c r="I42" s="6"/>
      <c r="J42" s="7">
        <f t="shared" si="31"/>
        <v>0</v>
      </c>
      <c r="K42" s="6"/>
      <c r="L42" s="7">
        <f t="shared" si="32"/>
        <v>0</v>
      </c>
      <c r="M42" s="6"/>
      <c r="N42" s="7">
        <f t="shared" si="33"/>
        <v>0</v>
      </c>
      <c r="O42" s="6"/>
      <c r="P42" s="7">
        <f t="shared" si="34"/>
        <v>0</v>
      </c>
      <c r="Q42" s="6"/>
      <c r="R42" s="7">
        <f>IF(Q42=0,,($Q$9-Q42)*$Q$7*100/$Q$9)</f>
        <v>0</v>
      </c>
      <c r="S42" s="6"/>
      <c r="T42" s="7">
        <f t="shared" si="35"/>
        <v>0</v>
      </c>
      <c r="U42" s="6"/>
      <c r="V42" s="7">
        <f t="shared" si="36"/>
        <v>0</v>
      </c>
      <c r="W42" s="6"/>
      <c r="X42" s="7">
        <f t="shared" si="37"/>
        <v>0</v>
      </c>
      <c r="Y42" s="8">
        <f t="shared" si="27"/>
        <v>0</v>
      </c>
      <c r="Z42" s="6">
        <f t="shared" si="16"/>
        <v>0</v>
      </c>
      <c r="AA42" s="6">
        <f t="shared" si="38"/>
        <v>32</v>
      </c>
      <c r="AB42" s="17">
        <f t="shared" si="13"/>
        <v>0</v>
      </c>
    </row>
    <row r="43" spans="1:28" x14ac:dyDescent="0.3">
      <c r="A43" s="5">
        <f t="shared" si="29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30"/>
        <v>0</v>
      </c>
      <c r="I43" s="6"/>
      <c r="J43" s="7">
        <f t="shared" si="31"/>
        <v>0</v>
      </c>
      <c r="K43" s="6"/>
      <c r="L43" s="7">
        <f t="shared" si="32"/>
        <v>0</v>
      </c>
      <c r="M43" s="6"/>
      <c r="N43" s="7">
        <f t="shared" si="33"/>
        <v>0</v>
      </c>
      <c r="O43" s="6"/>
      <c r="P43" s="7">
        <f t="shared" si="34"/>
        <v>0</v>
      </c>
      <c r="Q43" s="6"/>
      <c r="R43" s="7">
        <f>IF(Q43=0,,($Q$9-Q43)*$Q$7*100/$Q$9)</f>
        <v>0</v>
      </c>
      <c r="S43" s="6"/>
      <c r="T43" s="7">
        <f t="shared" si="35"/>
        <v>0</v>
      </c>
      <c r="U43" s="6"/>
      <c r="V43" s="7">
        <f t="shared" si="36"/>
        <v>0</v>
      </c>
      <c r="W43" s="6"/>
      <c r="X43" s="7">
        <f t="shared" si="37"/>
        <v>0</v>
      </c>
      <c r="Y43" s="8">
        <f t="shared" si="27"/>
        <v>0</v>
      </c>
      <c r="Z43" s="6">
        <f t="shared" si="16"/>
        <v>0</v>
      </c>
      <c r="AA43" s="6">
        <f t="shared" si="38"/>
        <v>33</v>
      </c>
      <c r="AB43" s="17">
        <f t="shared" si="13"/>
        <v>0</v>
      </c>
    </row>
    <row r="44" spans="1:28" x14ac:dyDescent="0.3">
      <c r="A44" s="5">
        <f t="shared" si="29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30"/>
        <v>0</v>
      </c>
      <c r="I44" s="6"/>
      <c r="J44" s="7">
        <f t="shared" si="31"/>
        <v>0</v>
      </c>
      <c r="K44" s="6"/>
      <c r="L44" s="7">
        <f t="shared" si="32"/>
        <v>0</v>
      </c>
      <c r="M44" s="6"/>
      <c r="N44" s="7">
        <f t="shared" si="33"/>
        <v>0</v>
      </c>
      <c r="O44" s="6"/>
      <c r="P44" s="7">
        <f t="shared" si="34"/>
        <v>0</v>
      </c>
      <c r="Q44" s="6"/>
      <c r="R44" s="7">
        <f>R43/2</f>
        <v>0</v>
      </c>
      <c r="S44" s="6"/>
      <c r="T44" s="7">
        <f t="shared" si="35"/>
        <v>0</v>
      </c>
      <c r="U44" s="6"/>
      <c r="V44" s="7">
        <f t="shared" si="36"/>
        <v>0</v>
      </c>
      <c r="W44" s="6"/>
      <c r="X44" s="7">
        <f t="shared" si="37"/>
        <v>0</v>
      </c>
      <c r="Y44" s="8">
        <f t="shared" si="27"/>
        <v>0</v>
      </c>
      <c r="Z44" s="6">
        <f t="shared" si="16"/>
        <v>0</v>
      </c>
      <c r="AA44" s="6">
        <f t="shared" si="38"/>
        <v>34</v>
      </c>
      <c r="AB44" s="17">
        <f t="shared" si="13"/>
        <v>0</v>
      </c>
    </row>
    <row r="45" spans="1:28" x14ac:dyDescent="0.3">
      <c r="A45" s="5">
        <f t="shared" si="29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30"/>
        <v>0</v>
      </c>
      <c r="I45" s="6"/>
      <c r="J45" s="7">
        <f t="shared" si="31"/>
        <v>0</v>
      </c>
      <c r="K45" s="6"/>
      <c r="L45" s="7">
        <f t="shared" si="32"/>
        <v>0</v>
      </c>
      <c r="M45" s="6"/>
      <c r="N45" s="7">
        <f t="shared" si="33"/>
        <v>0</v>
      </c>
      <c r="O45" s="6"/>
      <c r="P45" s="7">
        <f t="shared" si="34"/>
        <v>0</v>
      </c>
      <c r="Q45" s="6"/>
      <c r="R45" s="7">
        <f>IF(Q45=0,,($Q$9-Q45)*$Q$7*100/$Q$9)</f>
        <v>0</v>
      </c>
      <c r="S45" s="6"/>
      <c r="T45" s="7">
        <f t="shared" si="35"/>
        <v>0</v>
      </c>
      <c r="U45" s="6"/>
      <c r="V45" s="7">
        <f t="shared" si="36"/>
        <v>0</v>
      </c>
      <c r="W45" s="6"/>
      <c r="X45" s="7">
        <f t="shared" si="37"/>
        <v>0</v>
      </c>
      <c r="Y45" s="8">
        <f t="shared" si="27"/>
        <v>0</v>
      </c>
      <c r="Z45" s="6">
        <f t="shared" si="16"/>
        <v>0</v>
      </c>
      <c r="AA45" s="6">
        <f t="shared" si="38"/>
        <v>35</v>
      </c>
      <c r="AB45" s="17">
        <f t="shared" si="13"/>
        <v>0</v>
      </c>
    </row>
    <row r="46" spans="1:28" x14ac:dyDescent="0.3">
      <c r="A46" s="29" t="s">
        <v>18</v>
      </c>
      <c r="B46" s="29"/>
      <c r="C46" s="30"/>
      <c r="E46">
        <f>COUNTA(E11:E45)</f>
        <v>8</v>
      </c>
      <c r="G46">
        <f>COUNTA(G11:G45)</f>
        <v>18</v>
      </c>
      <c r="I46">
        <f>COUNTA(I11:I45)</f>
        <v>6</v>
      </c>
      <c r="K46">
        <f>COUNTA(K11:K45)</f>
        <v>1</v>
      </c>
      <c r="M46">
        <f>COUNTA(M11:M45)</f>
        <v>1</v>
      </c>
      <c r="O46">
        <f>COUNTA(O11:O45)</f>
        <v>1</v>
      </c>
      <c r="Q46">
        <f>COUNTA(Q11:Q45)</f>
        <v>9</v>
      </c>
      <c r="S46">
        <f>COUNTA(S11:S45)</f>
        <v>18</v>
      </c>
      <c r="U46">
        <f>COUNTA(U11:U45)</f>
        <v>9</v>
      </c>
      <c r="W46">
        <f>COUNTA(W11:W45)</f>
        <v>6</v>
      </c>
    </row>
    <row r="47" spans="1:28" x14ac:dyDescent="0.3">
      <c r="A47" s="32" t="s">
        <v>40</v>
      </c>
      <c r="B47" s="32"/>
      <c r="C47" s="32"/>
      <c r="E47" s="16">
        <f>E46/$G$2</f>
        <v>0.32</v>
      </c>
      <c r="G47" s="16">
        <f>G46/$G$2</f>
        <v>0.72</v>
      </c>
      <c r="I47" s="16">
        <f>I46/$G$2</f>
        <v>0.24</v>
      </c>
      <c r="K47" s="16">
        <f>K46/$G$2</f>
        <v>0.04</v>
      </c>
      <c r="M47" s="16">
        <f>M46/$G$2</f>
        <v>0.04</v>
      </c>
      <c r="O47" s="16">
        <f>O46/$G$2</f>
        <v>0.04</v>
      </c>
      <c r="Q47" s="16">
        <f>Q46/$G$2</f>
        <v>0.36</v>
      </c>
      <c r="S47" s="16">
        <f>S46/$G$2</f>
        <v>0.72</v>
      </c>
      <c r="U47" s="16">
        <f>U46/$G$2</f>
        <v>0.36</v>
      </c>
      <c r="W47" s="16">
        <f>W46/$G$2</f>
        <v>0.24</v>
      </c>
    </row>
  </sheetData>
  <sortState xmlns:xlrd2="http://schemas.microsoft.com/office/spreadsheetml/2017/richdata2" ref="A11:AB35">
    <sortCondition descending="1" ref="Y11:Y35"/>
  </sortState>
  <mergeCells count="45">
    <mergeCell ref="O6:P6"/>
    <mergeCell ref="O7:P7"/>
    <mergeCell ref="O8:P8"/>
    <mergeCell ref="O9:P9"/>
    <mergeCell ref="A46:C46"/>
    <mergeCell ref="M8:N8"/>
    <mergeCell ref="A47:C47"/>
    <mergeCell ref="E8:F8"/>
    <mergeCell ref="G8:H8"/>
    <mergeCell ref="I8:J8"/>
    <mergeCell ref="E9:F9"/>
    <mergeCell ref="G9:H9"/>
    <mergeCell ref="I9:J9"/>
    <mergeCell ref="Q8:R8"/>
    <mergeCell ref="K8:L8"/>
    <mergeCell ref="K9:L9"/>
    <mergeCell ref="W9:X9"/>
    <mergeCell ref="W8:X8"/>
    <mergeCell ref="S8:T8"/>
    <mergeCell ref="S9:T9"/>
    <mergeCell ref="U8:V8"/>
    <mergeCell ref="U9:V9"/>
    <mergeCell ref="M9:N9"/>
    <mergeCell ref="Q9:R9"/>
    <mergeCell ref="S6:T6"/>
    <mergeCell ref="W6:X6"/>
    <mergeCell ref="E7:F7"/>
    <mergeCell ref="U6:V6"/>
    <mergeCell ref="U7:V7"/>
    <mergeCell ref="I6:J6"/>
    <mergeCell ref="G7:H7"/>
    <mergeCell ref="I7:J7"/>
    <mergeCell ref="K6:L6"/>
    <mergeCell ref="W7:X7"/>
    <mergeCell ref="S7:T7"/>
    <mergeCell ref="K7:L7"/>
    <mergeCell ref="M6:N6"/>
    <mergeCell ref="Q6:R6"/>
    <mergeCell ref="M7:N7"/>
    <mergeCell ref="Q7:R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1"/>
  <sheetViews>
    <sheetView zoomScale="66" zoomScaleNormal="66" workbookViewId="0">
      <pane xSplit="3" ySplit="10" topLeftCell="G11" activePane="bottomRight" state="frozenSplit"/>
      <selection activeCell="F16" sqref="F16"/>
      <selection pane="topRight" activeCell="F16" sqref="F16"/>
      <selection pane="bottomLeft" activeCell="F16" sqref="F16"/>
      <selection pane="bottomRight" activeCell="G3" sqref="G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3" max="3" width="13.6640625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2" max="22" width="18.33203125" bestFit="1" customWidth="1"/>
    <col min="23" max="23" width="13.44140625" customWidth="1"/>
    <col min="24" max="24" width="18.33203125" bestFit="1" customWidth="1"/>
    <col min="26" max="26" width="15.44140625" bestFit="1" customWidth="1"/>
    <col min="27" max="27" width="18.33203125" bestFit="1" customWidth="1"/>
    <col min="28" max="28" width="19.88671875" bestFit="1" customWidth="1"/>
  </cols>
  <sheetData>
    <row r="1" spans="1:28" ht="31.2" x14ac:dyDescent="0.6">
      <c r="A1" s="27" t="s">
        <v>12</v>
      </c>
      <c r="B1" s="27"/>
      <c r="C1" s="27"/>
      <c r="D1" s="27"/>
      <c r="E1" s="27"/>
      <c r="F1" s="27"/>
      <c r="G1" s="27"/>
      <c r="H1" s="27"/>
    </row>
    <row r="2" spans="1:28" x14ac:dyDescent="0.3">
      <c r="E2" s="33" t="s">
        <v>36</v>
      </c>
      <c r="F2" s="33"/>
      <c r="G2" s="15">
        <f>COUNTA(B11:B29)</f>
        <v>16</v>
      </c>
    </row>
    <row r="3" spans="1:28" x14ac:dyDescent="0.3">
      <c r="E3" s="33" t="s">
        <v>38</v>
      </c>
      <c r="F3" s="33"/>
      <c r="G3" s="15">
        <f>COUNTA(E8:X8)</f>
        <v>10</v>
      </c>
    </row>
    <row r="4" spans="1:28" x14ac:dyDescent="0.3">
      <c r="A4" s="10"/>
      <c r="B4" s="11" t="s">
        <v>24</v>
      </c>
      <c r="C4" s="3"/>
    </row>
    <row r="6" spans="1:28" x14ac:dyDescent="0.3">
      <c r="D6" s="1" t="s">
        <v>0</v>
      </c>
      <c r="E6" s="28" t="s">
        <v>54</v>
      </c>
      <c r="F6" s="28"/>
      <c r="G6" s="28" t="s">
        <v>15</v>
      </c>
      <c r="H6" s="28"/>
      <c r="I6" s="28" t="s">
        <v>55</v>
      </c>
      <c r="J6" s="28"/>
      <c r="K6" s="28" t="s">
        <v>460</v>
      </c>
      <c r="L6" s="28"/>
      <c r="M6" s="28" t="s">
        <v>459</v>
      </c>
      <c r="N6" s="28"/>
      <c r="O6" s="28" t="s">
        <v>461</v>
      </c>
      <c r="P6" s="28"/>
      <c r="Q6" s="28" t="s">
        <v>56</v>
      </c>
      <c r="R6" s="28"/>
      <c r="S6" s="28" t="s">
        <v>19</v>
      </c>
      <c r="T6" s="28"/>
      <c r="U6" s="28" t="s">
        <v>47</v>
      </c>
      <c r="V6" s="28"/>
      <c r="W6" s="28" t="s">
        <v>58</v>
      </c>
      <c r="X6" s="28"/>
    </row>
    <row r="7" spans="1:28" x14ac:dyDescent="0.3">
      <c r="D7" s="1" t="s">
        <v>10</v>
      </c>
      <c r="E7" s="25">
        <v>5</v>
      </c>
      <c r="F7" s="26"/>
      <c r="G7" s="25">
        <v>2</v>
      </c>
      <c r="H7" s="26"/>
      <c r="I7" s="25">
        <v>5</v>
      </c>
      <c r="J7" s="26"/>
      <c r="K7" s="25">
        <v>6</v>
      </c>
      <c r="L7" s="26"/>
      <c r="M7" s="25">
        <v>6</v>
      </c>
      <c r="N7" s="26"/>
      <c r="O7" s="25">
        <v>6</v>
      </c>
      <c r="P7" s="26"/>
      <c r="Q7" s="25">
        <v>5</v>
      </c>
      <c r="R7" s="26"/>
      <c r="S7" s="25">
        <v>3</v>
      </c>
      <c r="T7" s="26"/>
      <c r="U7" s="25">
        <v>2</v>
      </c>
      <c r="V7" s="26"/>
      <c r="W7" s="25">
        <v>6</v>
      </c>
      <c r="X7" s="26"/>
    </row>
    <row r="8" spans="1:28" x14ac:dyDescent="0.3">
      <c r="D8" s="1" t="s">
        <v>1</v>
      </c>
      <c r="E8" s="31">
        <v>45222</v>
      </c>
      <c r="F8" s="31"/>
      <c r="G8" s="31">
        <v>45248</v>
      </c>
      <c r="H8" s="31"/>
      <c r="I8" s="31">
        <v>45255</v>
      </c>
      <c r="J8" s="31"/>
      <c r="K8" s="31">
        <v>45269</v>
      </c>
      <c r="L8" s="31"/>
      <c r="M8" s="31">
        <v>45305</v>
      </c>
      <c r="N8" s="31"/>
      <c r="O8" s="31">
        <v>45319</v>
      </c>
      <c r="P8" s="31"/>
      <c r="Q8" s="31">
        <v>45360</v>
      </c>
      <c r="R8" s="31"/>
      <c r="S8" s="31">
        <v>45367</v>
      </c>
      <c r="T8" s="31"/>
      <c r="U8" s="31">
        <v>45023</v>
      </c>
      <c r="V8" s="31"/>
      <c r="W8" s="31">
        <v>45430</v>
      </c>
      <c r="X8" s="31"/>
      <c r="Z8" s="15"/>
    </row>
    <row r="9" spans="1:28" x14ac:dyDescent="0.3">
      <c r="D9" s="1" t="s">
        <v>2</v>
      </c>
      <c r="E9" s="28">
        <v>80</v>
      </c>
      <c r="F9" s="28"/>
      <c r="G9" s="28">
        <v>12</v>
      </c>
      <c r="H9" s="28"/>
      <c r="I9" s="28">
        <v>67</v>
      </c>
      <c r="J9" s="28"/>
      <c r="K9" s="28">
        <v>211</v>
      </c>
      <c r="L9" s="28"/>
      <c r="M9" s="28">
        <v>209</v>
      </c>
      <c r="N9" s="28"/>
      <c r="O9" s="28">
        <v>132</v>
      </c>
      <c r="P9" s="28"/>
      <c r="Q9" s="28">
        <v>85</v>
      </c>
      <c r="R9" s="28"/>
      <c r="S9" s="28">
        <v>11</v>
      </c>
      <c r="T9" s="28"/>
      <c r="U9" s="28">
        <v>7</v>
      </c>
      <c r="V9" s="28"/>
      <c r="W9" s="28">
        <f>31+46</f>
        <v>77</v>
      </c>
      <c r="X9" s="28"/>
    </row>
    <row r="10" spans="1:28" x14ac:dyDescent="0.3">
      <c r="A10" s="1" t="s">
        <v>490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39</v>
      </c>
      <c r="AA10" s="1" t="s">
        <v>9</v>
      </c>
      <c r="AB10" s="1" t="s">
        <v>41</v>
      </c>
    </row>
    <row r="11" spans="1:28" x14ac:dyDescent="0.3">
      <c r="A11" s="5">
        <f t="shared" ref="A11:A26" si="0">AA11</f>
        <v>1</v>
      </c>
      <c r="B11" s="6" t="s">
        <v>345</v>
      </c>
      <c r="C11" s="6" t="s">
        <v>318</v>
      </c>
      <c r="D11" s="6" t="s">
        <v>380</v>
      </c>
      <c r="E11" s="6">
        <v>8</v>
      </c>
      <c r="F11" s="20">
        <f>IF(E11=0,,($E$9-E11)*$E$7*100/$E$9)</f>
        <v>450</v>
      </c>
      <c r="G11" s="6"/>
      <c r="H11" s="7">
        <f>IF(G11=0,,($G$9-G11)*$G$7*100/$G$9)</f>
        <v>0</v>
      </c>
      <c r="I11" s="6">
        <v>16</v>
      </c>
      <c r="J11" s="20">
        <f>IF(I11=0,,($I$9-I11)*$I$7*100/$I$9)</f>
        <v>380.59701492537312</v>
      </c>
      <c r="K11" s="6">
        <v>134</v>
      </c>
      <c r="L11" s="7">
        <f>IF(K11=0,,($K$9-K11)*$K$7*100/$K$9)</f>
        <v>218.95734597156397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>
        <v>23</v>
      </c>
      <c r="R11" s="20">
        <f t="shared" ref="R11:R26" si="1">IF(Q11=0,,($Q$9-Q11)*$Q$7*100/$Q$9)</f>
        <v>364.70588235294116</v>
      </c>
      <c r="S11" s="6">
        <v>1</v>
      </c>
      <c r="T11" s="23">
        <f>IF(S11=0,,($S$9-S11)*$S$7*100/$S$9)</f>
        <v>272.72727272727275</v>
      </c>
      <c r="U11" s="6"/>
      <c r="V11" s="7">
        <f t="shared" ref="V11:V25" si="2">IF(U11=0,,($U$9-U11)*$U$7*100/$U$9)</f>
        <v>0</v>
      </c>
      <c r="W11" s="6">
        <v>15</v>
      </c>
      <c r="X11" s="20">
        <f t="shared" ref="X11:X26" si="3">IF(W11=0,,($W$9-W11)*$W$7*100/$W$9)</f>
        <v>483.11688311688312</v>
      </c>
      <c r="Y11" s="8">
        <f>F11+J11+X11+R11</f>
        <v>1678.4197803951974</v>
      </c>
      <c r="Z11" s="6">
        <f t="shared" ref="Z11:Z26" si="4">COUNTA(E11,G11,I11,K11,Q11,S11,W11,U11)</f>
        <v>6</v>
      </c>
      <c r="AA11" s="6">
        <f t="shared" ref="AA11:AA26" si="5">ROW(B11)-10</f>
        <v>1</v>
      </c>
      <c r="AB11" s="17">
        <f t="shared" ref="AB11:AB26" si="6">Z11/$G$3</f>
        <v>0.6</v>
      </c>
    </row>
    <row r="12" spans="1:28" x14ac:dyDescent="0.3">
      <c r="A12" s="5">
        <f t="shared" si="0"/>
        <v>2</v>
      </c>
      <c r="B12" s="6" t="s">
        <v>346</v>
      </c>
      <c r="C12" s="6" t="s">
        <v>347</v>
      </c>
      <c r="D12" s="6" t="s">
        <v>380</v>
      </c>
      <c r="E12" s="6">
        <v>15</v>
      </c>
      <c r="F12" s="20">
        <f>IF(E12=0,,($E$9-E12)*$E$7*100/$E$9)</f>
        <v>406.25</v>
      </c>
      <c r="G12" s="6">
        <v>4</v>
      </c>
      <c r="H12" s="7">
        <f>IF(G12=0,,($G$9-G12)*$G$7*100/$G$9)</f>
        <v>133.33333333333334</v>
      </c>
      <c r="I12" s="6">
        <v>22</v>
      </c>
      <c r="J12" s="20">
        <f>IF(I12=0,,($I$9-I12)*$I$7*100/$I$9)</f>
        <v>335.82089552238807</v>
      </c>
      <c r="K12" s="6">
        <v>206</v>
      </c>
      <c r="L12" s="7">
        <f>IF(K12=0,,($K$9-K12)*$K$7*100/$K$9)</f>
        <v>14.218009478672986</v>
      </c>
      <c r="M12" s="6"/>
      <c r="N12" s="7">
        <f>IF(M12=0,,($M$9-M12)*$M$7*100/$M$9)</f>
        <v>0</v>
      </c>
      <c r="O12" s="6">
        <v>56</v>
      </c>
      <c r="P12" s="20">
        <f>IF(O12=0,,($M$9-O12)*$M$7*100/$M$9)</f>
        <v>439.23444976076553</v>
      </c>
      <c r="Q12" s="6">
        <v>49</v>
      </c>
      <c r="R12" s="7">
        <f t="shared" si="1"/>
        <v>211.76470588235293</v>
      </c>
      <c r="S12" s="6">
        <v>2</v>
      </c>
      <c r="T12" s="23">
        <f>IF(S12=0,,($S$9-S12)*$S$7*100/$S$9)</f>
        <v>245.45454545454547</v>
      </c>
      <c r="U12" s="6"/>
      <c r="V12" s="7">
        <f t="shared" si="2"/>
        <v>0</v>
      </c>
      <c r="W12" s="6">
        <v>25</v>
      </c>
      <c r="X12" s="20">
        <f t="shared" si="3"/>
        <v>405.19480519480521</v>
      </c>
      <c r="Y12" s="8">
        <f>F12+X12+J12+P12</f>
        <v>1586.5001504779589</v>
      </c>
      <c r="Z12" s="6">
        <f t="shared" si="4"/>
        <v>7</v>
      </c>
      <c r="AA12" s="6">
        <f t="shared" si="5"/>
        <v>2</v>
      </c>
      <c r="AB12" s="17">
        <f t="shared" si="6"/>
        <v>0.7</v>
      </c>
    </row>
    <row r="13" spans="1:28" x14ac:dyDescent="0.3">
      <c r="A13" s="5">
        <f t="shared" si="0"/>
        <v>3</v>
      </c>
      <c r="B13" s="6" t="s">
        <v>178</v>
      </c>
      <c r="C13" s="6" t="s">
        <v>179</v>
      </c>
      <c r="D13" s="6" t="s">
        <v>100</v>
      </c>
      <c r="E13" s="6"/>
      <c r="F13" s="7">
        <f>IF(E13=0,,($E$9-E13)*$E$7*100/$E$9)</f>
        <v>0</v>
      </c>
      <c r="G13" s="6">
        <v>2</v>
      </c>
      <c r="H13" s="7">
        <f>IF(G13=0,,($G$9-G13)*$G$7*100/$G$9)</f>
        <v>166.66666666666666</v>
      </c>
      <c r="I13" s="6">
        <v>35</v>
      </c>
      <c r="J13" s="20">
        <f>IF(I13=0,,($I$9-I13)*$I$7*100/$I$9)</f>
        <v>238.80597014925374</v>
      </c>
      <c r="K13" s="6"/>
      <c r="L13" s="7">
        <f>IF(K13=0,,($K$9-K13)*$K$7*100/$K$9)</f>
        <v>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>
        <v>40</v>
      </c>
      <c r="R13" s="20">
        <f t="shared" si="1"/>
        <v>264.70588235294116</v>
      </c>
      <c r="S13" s="6">
        <v>3</v>
      </c>
      <c r="T13" s="20">
        <f>IF(S13=0,,($S$9-S13)*$S$7*100/$S$9)</f>
        <v>218.18181818181819</v>
      </c>
      <c r="U13" s="6">
        <v>1</v>
      </c>
      <c r="V13" s="7">
        <f t="shared" si="2"/>
        <v>171.42857142857142</v>
      </c>
      <c r="W13" s="6">
        <f>31+7</f>
        <v>38</v>
      </c>
      <c r="X13" s="20">
        <f t="shared" si="3"/>
        <v>303.89610389610391</v>
      </c>
      <c r="Y13" s="8">
        <f>X13+T13+R13+J13</f>
        <v>1025.5897745801169</v>
      </c>
      <c r="Z13" s="6">
        <f t="shared" si="4"/>
        <v>6</v>
      </c>
      <c r="AA13" s="6">
        <f t="shared" si="5"/>
        <v>3</v>
      </c>
      <c r="AB13" s="17">
        <f t="shared" si="6"/>
        <v>0.6</v>
      </c>
    </row>
    <row r="14" spans="1:28" x14ac:dyDescent="0.3">
      <c r="A14" s="5">
        <f t="shared" si="0"/>
        <v>4</v>
      </c>
      <c r="B14" s="6" t="s">
        <v>313</v>
      </c>
      <c r="C14" s="6" t="s">
        <v>314</v>
      </c>
      <c r="D14" s="6" t="s">
        <v>380</v>
      </c>
      <c r="E14" s="6">
        <v>74</v>
      </c>
      <c r="F14" s="7">
        <f>IF(E14=0,,($E$9-E14)*$E$7*100/$E$9)</f>
        <v>37.5</v>
      </c>
      <c r="G14" s="6">
        <v>3</v>
      </c>
      <c r="H14" s="7">
        <f>IF(G14=0,,($G$9-G14)*$G$7*100/$G$9)</f>
        <v>150</v>
      </c>
      <c r="I14" s="6">
        <v>23</v>
      </c>
      <c r="J14" s="20">
        <f>IF(I14=0,,($I$9-I14)*$I$7*100/$I$9)</f>
        <v>328.35820895522386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>
        <v>52</v>
      </c>
      <c r="R14" s="20">
        <f t="shared" si="1"/>
        <v>194.11764705882354</v>
      </c>
      <c r="S14" s="6">
        <v>3</v>
      </c>
      <c r="T14" s="20">
        <f>IF(S14=0,,($S$9-S14)*$S$7*100/$S$9)</f>
        <v>218.18181818181819</v>
      </c>
      <c r="U14" s="6">
        <v>3</v>
      </c>
      <c r="V14" s="7">
        <f t="shared" si="2"/>
        <v>114.28571428571429</v>
      </c>
      <c r="W14" s="6">
        <f>31+19</f>
        <v>50</v>
      </c>
      <c r="X14" s="20">
        <f t="shared" si="3"/>
        <v>210.3896103896104</v>
      </c>
      <c r="Y14" s="8">
        <f>T14+R14+J14+X14</f>
        <v>951.04728458547606</v>
      </c>
      <c r="Z14" s="6">
        <f t="shared" si="4"/>
        <v>7</v>
      </c>
      <c r="AA14" s="6">
        <f t="shared" si="5"/>
        <v>4</v>
      </c>
      <c r="AB14" s="17">
        <f t="shared" si="6"/>
        <v>0.7</v>
      </c>
    </row>
    <row r="15" spans="1:28" x14ac:dyDescent="0.3">
      <c r="A15" s="5">
        <f t="shared" si="0"/>
        <v>5</v>
      </c>
      <c r="B15" s="6" t="s">
        <v>348</v>
      </c>
      <c r="C15" s="6" t="s">
        <v>349</v>
      </c>
      <c r="D15" s="6" t="s">
        <v>350</v>
      </c>
      <c r="E15" s="6">
        <v>60</v>
      </c>
      <c r="F15" s="20">
        <f>IF(E15=0,,($E$9-E15)*$E$7*100/$E$9)</f>
        <v>125</v>
      </c>
      <c r="G15" s="6">
        <v>6</v>
      </c>
      <c r="H15" s="20">
        <f>IF(G15=0,,($G$9-G15)*$G$7*100/$G$9)</f>
        <v>100</v>
      </c>
      <c r="I15" s="6">
        <v>50</v>
      </c>
      <c r="J15" s="20">
        <f>IF(I15=0,,($I$9-I15)*$I$7*100/$I$9)</f>
        <v>126.86567164179104</v>
      </c>
      <c r="K15" s="6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IF(O15=0,,($M$9-O15)*$M$7*100/$M$9)</f>
        <v>0</v>
      </c>
      <c r="Q15" s="6">
        <v>69</v>
      </c>
      <c r="R15" s="7">
        <f t="shared" si="1"/>
        <v>94.117647058823536</v>
      </c>
      <c r="S15" s="6">
        <v>11</v>
      </c>
      <c r="T15" s="7">
        <f>27/2</f>
        <v>13.5</v>
      </c>
      <c r="U15" s="6">
        <v>3</v>
      </c>
      <c r="V15" s="20">
        <f t="shared" si="2"/>
        <v>114.28571428571429</v>
      </c>
      <c r="W15" s="6">
        <f>31+35</f>
        <v>66</v>
      </c>
      <c r="X15" s="7">
        <f t="shared" si="3"/>
        <v>85.714285714285708</v>
      </c>
      <c r="Y15" s="8">
        <f>F15+H15+J15+V15</f>
        <v>466.15138592750532</v>
      </c>
      <c r="Z15" s="6">
        <f t="shared" si="4"/>
        <v>7</v>
      </c>
      <c r="AA15" s="6">
        <f t="shared" si="5"/>
        <v>5</v>
      </c>
      <c r="AB15" s="17">
        <f t="shared" si="6"/>
        <v>0.7</v>
      </c>
    </row>
    <row r="16" spans="1:28" x14ac:dyDescent="0.3">
      <c r="A16" s="5">
        <f t="shared" si="0"/>
        <v>6</v>
      </c>
      <c r="B16" s="6" t="s">
        <v>154</v>
      </c>
      <c r="C16" s="6" t="s">
        <v>155</v>
      </c>
      <c r="D16" s="6" t="s">
        <v>117</v>
      </c>
      <c r="E16" s="6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6">
        <v>82</v>
      </c>
      <c r="R16" s="7">
        <f t="shared" si="1"/>
        <v>17.647058823529413</v>
      </c>
      <c r="S16" s="6">
        <v>7</v>
      </c>
      <c r="T16" s="7">
        <f t="shared" ref="T16:T26" si="7">IF(S16=0,,($S$9-S16)*$S$7*100/$S$9)</f>
        <v>109.09090909090909</v>
      </c>
      <c r="U16" s="6">
        <v>2</v>
      </c>
      <c r="V16" s="7">
        <f t="shared" si="2"/>
        <v>142.85714285714286</v>
      </c>
      <c r="W16" s="6">
        <f>31+16</f>
        <v>47</v>
      </c>
      <c r="X16" s="20">
        <f t="shared" si="3"/>
        <v>233.76623376623377</v>
      </c>
      <c r="Y16" s="8">
        <f>X16+H16+T16+N16+F16+J16+L16+R16</f>
        <v>360.50420168067228</v>
      </c>
      <c r="Z16" s="6">
        <f t="shared" si="4"/>
        <v>4</v>
      </c>
      <c r="AA16" s="6">
        <f t="shared" si="5"/>
        <v>6</v>
      </c>
      <c r="AB16" s="17">
        <f t="shared" si="6"/>
        <v>0.4</v>
      </c>
    </row>
    <row r="17" spans="1:28" x14ac:dyDescent="0.3">
      <c r="A17" s="5">
        <f t="shared" si="0"/>
        <v>7</v>
      </c>
      <c r="B17" s="6" t="s">
        <v>488</v>
      </c>
      <c r="C17" s="6" t="s">
        <v>489</v>
      </c>
      <c r="D17" s="6" t="s">
        <v>380</v>
      </c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>
        <v>78</v>
      </c>
      <c r="R17" s="7">
        <f t="shared" si="1"/>
        <v>41.176470588235297</v>
      </c>
      <c r="S17" s="6">
        <v>9</v>
      </c>
      <c r="T17" s="7">
        <f t="shared" si="7"/>
        <v>54.545454545454547</v>
      </c>
      <c r="U17" s="6"/>
      <c r="V17" s="7">
        <f t="shared" si="2"/>
        <v>0</v>
      </c>
      <c r="W17" s="6">
        <f>31+27</f>
        <v>58</v>
      </c>
      <c r="X17" s="20">
        <f t="shared" si="3"/>
        <v>148.05194805194805</v>
      </c>
      <c r="Y17" s="8">
        <f>X17+H17+T17+N17+F17+J17+L17+R17</f>
        <v>243.77387318563791</v>
      </c>
      <c r="Z17" s="6">
        <f t="shared" si="4"/>
        <v>3</v>
      </c>
      <c r="AA17" s="6">
        <f t="shared" si="5"/>
        <v>7</v>
      </c>
      <c r="AB17" s="17">
        <f t="shared" si="6"/>
        <v>0.3</v>
      </c>
    </row>
    <row r="18" spans="1:28" x14ac:dyDescent="0.3">
      <c r="A18" s="5">
        <f t="shared" si="0"/>
        <v>8</v>
      </c>
      <c r="B18" s="6" t="s">
        <v>166</v>
      </c>
      <c r="C18" s="6" t="s">
        <v>167</v>
      </c>
      <c r="D18" s="6" t="s">
        <v>117</v>
      </c>
      <c r="E18" s="6"/>
      <c r="F18" s="7">
        <f t="shared" ref="F18:F26" si="8">IF(E18=0,,($E$9-E18)*$E$7*100/$E$9)</f>
        <v>0</v>
      </c>
      <c r="G18" s="6"/>
      <c r="H18" s="7">
        <f t="shared" ref="H18:H23" si="9">IF(G18=0,,($G$9-G18)*$G$7*100/$G$9)</f>
        <v>0</v>
      </c>
      <c r="I18" s="6"/>
      <c r="J18" s="7">
        <f t="shared" ref="J18:J26" si="10">IF(I18=0,,($I$9-I18)*$I$7*100/$I$9)</f>
        <v>0</v>
      </c>
      <c r="K18" s="6"/>
      <c r="L18" s="7">
        <f t="shared" ref="L18:L26" si="11">IF(K18=0,,($K$9-K18)*$K$7*100/$K$9)</f>
        <v>0</v>
      </c>
      <c r="M18" s="6"/>
      <c r="N18" s="7">
        <f t="shared" ref="N18:N26" si="12">IF(M18=0,,($M$9-M18)*$M$7*100/$M$9)</f>
        <v>0</v>
      </c>
      <c r="O18" s="6"/>
      <c r="P18" s="7">
        <f t="shared" ref="P18:P26" si="13">IF(O18=0,,($M$9-O18)*$M$7*100/$M$9)</f>
        <v>0</v>
      </c>
      <c r="Q18" s="6"/>
      <c r="R18" s="7">
        <f t="shared" si="1"/>
        <v>0</v>
      </c>
      <c r="S18" s="6">
        <v>5</v>
      </c>
      <c r="T18" s="7">
        <f t="shared" si="7"/>
        <v>163.63636363636363</v>
      </c>
      <c r="U18" s="6">
        <v>5</v>
      </c>
      <c r="V18" s="7">
        <f t="shared" si="2"/>
        <v>57.142857142857146</v>
      </c>
      <c r="W18" s="6"/>
      <c r="X18" s="7">
        <f t="shared" si="3"/>
        <v>0</v>
      </c>
      <c r="Y18" s="8">
        <f>X18+H18+T18+N18+F18+J18+L18+R18</f>
        <v>163.63636363636363</v>
      </c>
      <c r="Z18" s="6">
        <f t="shared" si="4"/>
        <v>2</v>
      </c>
      <c r="AA18" s="6">
        <f t="shared" si="5"/>
        <v>8</v>
      </c>
      <c r="AB18" s="17">
        <f t="shared" si="6"/>
        <v>0.2</v>
      </c>
    </row>
    <row r="19" spans="1:28" x14ac:dyDescent="0.3">
      <c r="A19" s="5">
        <f t="shared" si="0"/>
        <v>9</v>
      </c>
      <c r="B19" s="6" t="s">
        <v>170</v>
      </c>
      <c r="C19" s="6" t="s">
        <v>171</v>
      </c>
      <c r="D19" s="6" t="s">
        <v>379</v>
      </c>
      <c r="E19" s="6"/>
      <c r="F19" s="7">
        <f t="shared" si="8"/>
        <v>0</v>
      </c>
      <c r="G19" s="6">
        <v>7</v>
      </c>
      <c r="H19" s="7">
        <f t="shared" si="9"/>
        <v>83.333333333333329</v>
      </c>
      <c r="I19" s="6">
        <v>57</v>
      </c>
      <c r="J19" s="7">
        <f t="shared" si="10"/>
        <v>74.626865671641795</v>
      </c>
      <c r="K19" s="6"/>
      <c r="L19" s="7">
        <f t="shared" si="11"/>
        <v>0</v>
      </c>
      <c r="M19" s="6"/>
      <c r="N19" s="7">
        <f t="shared" si="12"/>
        <v>0</v>
      </c>
      <c r="O19" s="6"/>
      <c r="P19" s="7">
        <f t="shared" si="13"/>
        <v>0</v>
      </c>
      <c r="Q19" s="6"/>
      <c r="R19" s="7">
        <f t="shared" si="1"/>
        <v>0</v>
      </c>
      <c r="S19" s="6"/>
      <c r="T19" s="7">
        <f t="shared" si="7"/>
        <v>0</v>
      </c>
      <c r="U19" s="6"/>
      <c r="V19" s="7">
        <f t="shared" si="2"/>
        <v>0</v>
      </c>
      <c r="W19" s="6"/>
      <c r="X19" s="7">
        <f t="shared" si="3"/>
        <v>0</v>
      </c>
      <c r="Y19" s="8">
        <f>X19+H19+T19+N19+F19+J19+L19</f>
        <v>157.96019900497512</v>
      </c>
      <c r="Z19" s="6">
        <f t="shared" si="4"/>
        <v>2</v>
      </c>
      <c r="AA19" s="6">
        <f t="shared" si="5"/>
        <v>9</v>
      </c>
      <c r="AB19" s="17">
        <f t="shared" si="6"/>
        <v>0.2</v>
      </c>
    </row>
    <row r="20" spans="1:28" x14ac:dyDescent="0.3">
      <c r="A20" s="5">
        <f t="shared" si="0"/>
        <v>10</v>
      </c>
      <c r="B20" s="6" t="s">
        <v>399</v>
      </c>
      <c r="C20" s="6" t="s">
        <v>400</v>
      </c>
      <c r="D20" s="6" t="s">
        <v>100</v>
      </c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6"/>
      <c r="L20" s="7">
        <f t="shared" si="11"/>
        <v>0</v>
      </c>
      <c r="M20" s="6"/>
      <c r="N20" s="7">
        <f t="shared" si="12"/>
        <v>0</v>
      </c>
      <c r="O20" s="6"/>
      <c r="P20" s="7">
        <f t="shared" si="13"/>
        <v>0</v>
      </c>
      <c r="Q20" s="6"/>
      <c r="R20" s="7">
        <f t="shared" si="1"/>
        <v>0</v>
      </c>
      <c r="S20" s="6">
        <v>6</v>
      </c>
      <c r="T20" s="7">
        <f t="shared" si="7"/>
        <v>136.36363636363637</v>
      </c>
      <c r="U20" s="6"/>
      <c r="V20" s="7">
        <f t="shared" si="2"/>
        <v>0</v>
      </c>
      <c r="W20" s="6"/>
      <c r="X20" s="7">
        <f t="shared" si="3"/>
        <v>0</v>
      </c>
      <c r="Y20" s="8">
        <f>X20+H20+T20+N20+F20+J20+L20+R20</f>
        <v>136.36363636363637</v>
      </c>
      <c r="Z20" s="6">
        <f t="shared" si="4"/>
        <v>1</v>
      </c>
      <c r="AA20" s="6">
        <f t="shared" si="5"/>
        <v>10</v>
      </c>
      <c r="AB20" s="17">
        <f t="shared" si="6"/>
        <v>0.1</v>
      </c>
    </row>
    <row r="21" spans="1:28" x14ac:dyDescent="0.3">
      <c r="A21" s="5">
        <f t="shared" si="0"/>
        <v>11</v>
      </c>
      <c r="B21" s="6" t="s">
        <v>542</v>
      </c>
      <c r="C21" s="6" t="s">
        <v>277</v>
      </c>
      <c r="D21" s="6" t="s">
        <v>380</v>
      </c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6"/>
      <c r="L21" s="7">
        <f t="shared" si="11"/>
        <v>0</v>
      </c>
      <c r="M21" s="6"/>
      <c r="N21" s="7">
        <f t="shared" si="12"/>
        <v>0</v>
      </c>
      <c r="O21" s="6"/>
      <c r="P21" s="7">
        <f t="shared" si="13"/>
        <v>0</v>
      </c>
      <c r="Q21" s="6"/>
      <c r="R21" s="7">
        <f t="shared" si="1"/>
        <v>0</v>
      </c>
      <c r="S21" s="6">
        <v>8</v>
      </c>
      <c r="T21" s="7">
        <f t="shared" si="7"/>
        <v>81.818181818181813</v>
      </c>
      <c r="U21" s="6"/>
      <c r="V21" s="7">
        <f t="shared" si="2"/>
        <v>0</v>
      </c>
      <c r="W21" s="6"/>
      <c r="X21" s="7">
        <f t="shared" si="3"/>
        <v>0</v>
      </c>
      <c r="Y21" s="8">
        <f>X21+H21+T21+N21+F21+J21+L21+R21</f>
        <v>81.818181818181813</v>
      </c>
      <c r="Z21" s="6">
        <f t="shared" si="4"/>
        <v>1</v>
      </c>
      <c r="AA21" s="6">
        <f t="shared" si="5"/>
        <v>11</v>
      </c>
      <c r="AB21" s="17">
        <f t="shared" si="6"/>
        <v>0.1</v>
      </c>
    </row>
    <row r="22" spans="1:28" x14ac:dyDescent="0.3">
      <c r="A22" s="5">
        <f t="shared" si="0"/>
        <v>12</v>
      </c>
      <c r="B22" s="6" t="s">
        <v>152</v>
      </c>
      <c r="C22" s="6" t="s">
        <v>153</v>
      </c>
      <c r="D22" s="6" t="s">
        <v>380</v>
      </c>
      <c r="E22" s="6"/>
      <c r="F22" s="7">
        <f t="shared" si="8"/>
        <v>0</v>
      </c>
      <c r="G22" s="6">
        <v>8</v>
      </c>
      <c r="H22" s="7">
        <f t="shared" si="9"/>
        <v>66.666666666666671</v>
      </c>
      <c r="I22" s="6"/>
      <c r="J22" s="7">
        <f t="shared" si="10"/>
        <v>0</v>
      </c>
      <c r="K22" s="6"/>
      <c r="L22" s="7">
        <f t="shared" si="11"/>
        <v>0</v>
      </c>
      <c r="M22" s="6"/>
      <c r="N22" s="7">
        <f t="shared" si="12"/>
        <v>0</v>
      </c>
      <c r="O22" s="6"/>
      <c r="P22" s="7">
        <f t="shared" si="13"/>
        <v>0</v>
      </c>
      <c r="Q22" s="6"/>
      <c r="R22" s="7">
        <f t="shared" si="1"/>
        <v>0</v>
      </c>
      <c r="S22" s="6"/>
      <c r="T22" s="7">
        <f t="shared" si="7"/>
        <v>0</v>
      </c>
      <c r="U22" s="6"/>
      <c r="V22" s="7">
        <f t="shared" si="2"/>
        <v>0</v>
      </c>
      <c r="W22" s="6"/>
      <c r="X22" s="7">
        <f t="shared" si="3"/>
        <v>0</v>
      </c>
      <c r="Y22" s="8">
        <f>X22+H22+T22+N22+F22+J22+L22</f>
        <v>66.666666666666671</v>
      </c>
      <c r="Z22" s="6">
        <f t="shared" si="4"/>
        <v>1</v>
      </c>
      <c r="AA22" s="6">
        <f t="shared" si="5"/>
        <v>12</v>
      </c>
      <c r="AB22" s="17">
        <f t="shared" si="6"/>
        <v>0.1</v>
      </c>
    </row>
    <row r="23" spans="1:28" x14ac:dyDescent="0.3">
      <c r="A23" s="5">
        <f t="shared" si="0"/>
        <v>13</v>
      </c>
      <c r="B23" s="6" t="s">
        <v>168</v>
      </c>
      <c r="C23" s="6" t="s">
        <v>169</v>
      </c>
      <c r="D23" s="6" t="s">
        <v>100</v>
      </c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6"/>
      <c r="L23" s="7">
        <f t="shared" si="11"/>
        <v>0</v>
      </c>
      <c r="M23" s="6"/>
      <c r="N23" s="7">
        <f t="shared" si="12"/>
        <v>0</v>
      </c>
      <c r="O23" s="6"/>
      <c r="P23" s="7">
        <f t="shared" si="13"/>
        <v>0</v>
      </c>
      <c r="Q23" s="6"/>
      <c r="R23" s="7">
        <f t="shared" si="1"/>
        <v>0</v>
      </c>
      <c r="S23" s="6">
        <v>10</v>
      </c>
      <c r="T23" s="7">
        <f t="shared" si="7"/>
        <v>27.272727272727273</v>
      </c>
      <c r="U23" s="6"/>
      <c r="V23" s="7">
        <f t="shared" si="2"/>
        <v>0</v>
      </c>
      <c r="W23" s="6"/>
      <c r="X23" s="7">
        <f t="shared" si="3"/>
        <v>0</v>
      </c>
      <c r="Y23" s="8">
        <f>X23+H23+T23+N23+F23+J23+L23+R23</f>
        <v>27.272727272727273</v>
      </c>
      <c r="Z23" s="6">
        <f t="shared" si="4"/>
        <v>1</v>
      </c>
      <c r="AA23" s="6">
        <f t="shared" si="5"/>
        <v>13</v>
      </c>
      <c r="AB23" s="17">
        <f t="shared" si="6"/>
        <v>0.1</v>
      </c>
    </row>
    <row r="24" spans="1:28" x14ac:dyDescent="0.3">
      <c r="A24" s="5">
        <f t="shared" si="0"/>
        <v>14</v>
      </c>
      <c r="B24" s="6" t="s">
        <v>381</v>
      </c>
      <c r="C24" s="6" t="s">
        <v>382</v>
      </c>
      <c r="D24" s="6" t="s">
        <v>103</v>
      </c>
      <c r="E24" s="6"/>
      <c r="F24" s="7">
        <f t="shared" si="8"/>
        <v>0</v>
      </c>
      <c r="G24" s="6">
        <v>12</v>
      </c>
      <c r="H24" s="7">
        <f>17/2</f>
        <v>8.5</v>
      </c>
      <c r="I24" s="6"/>
      <c r="J24" s="7">
        <f t="shared" si="10"/>
        <v>0</v>
      </c>
      <c r="K24" s="6"/>
      <c r="L24" s="7">
        <f t="shared" si="11"/>
        <v>0</v>
      </c>
      <c r="M24" s="6"/>
      <c r="N24" s="7">
        <f t="shared" si="12"/>
        <v>0</v>
      </c>
      <c r="O24" s="6"/>
      <c r="P24" s="7">
        <f t="shared" si="13"/>
        <v>0</v>
      </c>
      <c r="Q24" s="6"/>
      <c r="R24" s="7">
        <f t="shared" si="1"/>
        <v>0</v>
      </c>
      <c r="S24" s="6"/>
      <c r="T24" s="7">
        <f t="shared" si="7"/>
        <v>0</v>
      </c>
      <c r="U24" s="6"/>
      <c r="V24" s="7">
        <f t="shared" si="2"/>
        <v>0</v>
      </c>
      <c r="W24" s="6"/>
      <c r="X24" s="7">
        <f t="shared" si="3"/>
        <v>0</v>
      </c>
      <c r="Y24" s="8">
        <f>X24+H24+T24+N24+F24+J24+L24</f>
        <v>8.5</v>
      </c>
      <c r="Z24" s="6">
        <f t="shared" si="4"/>
        <v>1</v>
      </c>
      <c r="AA24" s="6">
        <f t="shared" si="5"/>
        <v>14</v>
      </c>
      <c r="AB24" s="17">
        <f t="shared" si="6"/>
        <v>0.1</v>
      </c>
    </row>
    <row r="25" spans="1:28" x14ac:dyDescent="0.3">
      <c r="A25" s="5">
        <f t="shared" si="0"/>
        <v>15</v>
      </c>
      <c r="B25" s="6" t="s">
        <v>150</v>
      </c>
      <c r="C25" s="6" t="s">
        <v>151</v>
      </c>
      <c r="D25" s="6" t="s">
        <v>117</v>
      </c>
      <c r="E25" s="6"/>
      <c r="F25" s="7">
        <f t="shared" si="8"/>
        <v>0</v>
      </c>
      <c r="G25" s="6"/>
      <c r="H25" s="7">
        <f>IF(G25=0,,($G$9-G25)*$G$7*100/$G$9)</f>
        <v>0</v>
      </c>
      <c r="I25" s="6"/>
      <c r="J25" s="7">
        <f t="shared" si="10"/>
        <v>0</v>
      </c>
      <c r="K25" s="6"/>
      <c r="L25" s="7">
        <f t="shared" si="11"/>
        <v>0</v>
      </c>
      <c r="M25" s="6"/>
      <c r="N25" s="7">
        <f t="shared" si="12"/>
        <v>0</v>
      </c>
      <c r="O25" s="6"/>
      <c r="P25" s="7">
        <f t="shared" si="13"/>
        <v>0</v>
      </c>
      <c r="Q25" s="6"/>
      <c r="R25" s="7">
        <f t="shared" si="1"/>
        <v>0</v>
      </c>
      <c r="S25" s="6"/>
      <c r="T25" s="7">
        <f t="shared" si="7"/>
        <v>0</v>
      </c>
      <c r="U25" s="6">
        <v>6</v>
      </c>
      <c r="V25" s="7">
        <f t="shared" si="2"/>
        <v>28.571428571428573</v>
      </c>
      <c r="W25" s="6"/>
      <c r="X25" s="7">
        <f t="shared" si="3"/>
        <v>0</v>
      </c>
      <c r="Y25" s="8">
        <f>X25+H25+T25+N25+F25+J25+L25+R25</f>
        <v>0</v>
      </c>
      <c r="Z25" s="6">
        <f t="shared" si="4"/>
        <v>1</v>
      </c>
      <c r="AA25" s="6">
        <f t="shared" si="5"/>
        <v>15</v>
      </c>
      <c r="AB25" s="17">
        <f t="shared" si="6"/>
        <v>0.1</v>
      </c>
    </row>
    <row r="26" spans="1:28" x14ac:dyDescent="0.3">
      <c r="A26" s="5">
        <f t="shared" si="0"/>
        <v>16</v>
      </c>
      <c r="B26" s="6" t="s">
        <v>569</v>
      </c>
      <c r="C26" s="6" t="s">
        <v>570</v>
      </c>
      <c r="D26" s="6" t="s">
        <v>379</v>
      </c>
      <c r="E26" s="6"/>
      <c r="F26" s="7">
        <f t="shared" si="8"/>
        <v>0</v>
      </c>
      <c r="G26" s="6"/>
      <c r="H26" s="7">
        <f>IF(G26=0,,($G$9-G26)*$G$7*100/$G$9)</f>
        <v>0</v>
      </c>
      <c r="I26" s="6"/>
      <c r="J26" s="7">
        <f t="shared" si="10"/>
        <v>0</v>
      </c>
      <c r="K26" s="6"/>
      <c r="L26" s="7">
        <f t="shared" si="11"/>
        <v>0</v>
      </c>
      <c r="M26" s="6"/>
      <c r="N26" s="7">
        <f t="shared" si="12"/>
        <v>0</v>
      </c>
      <c r="O26" s="6"/>
      <c r="P26" s="7">
        <f t="shared" si="13"/>
        <v>0</v>
      </c>
      <c r="Q26" s="6"/>
      <c r="R26" s="7">
        <f t="shared" si="1"/>
        <v>0</v>
      </c>
      <c r="S26" s="6"/>
      <c r="T26" s="7">
        <f t="shared" si="7"/>
        <v>0</v>
      </c>
      <c r="U26" s="6">
        <v>7</v>
      </c>
      <c r="V26" s="7">
        <f>29/2</f>
        <v>14.5</v>
      </c>
      <c r="W26" s="6"/>
      <c r="X26" s="7">
        <f t="shared" si="3"/>
        <v>0</v>
      </c>
      <c r="Y26" s="8">
        <f>X26+H26+T26+N26+F26+J26+L26+R26</f>
        <v>0</v>
      </c>
      <c r="Z26" s="6">
        <f t="shared" si="4"/>
        <v>1</v>
      </c>
      <c r="AA26" s="6">
        <f t="shared" si="5"/>
        <v>16</v>
      </c>
      <c r="AB26" s="17">
        <f t="shared" si="6"/>
        <v>0.1</v>
      </c>
    </row>
    <row r="27" spans="1:28" x14ac:dyDescent="0.3">
      <c r="A27" s="5">
        <f t="shared" ref="A27" si="14">AA27</f>
        <v>17</v>
      </c>
      <c r="B27" s="6"/>
      <c r="C27" s="6"/>
      <c r="D27" s="6"/>
      <c r="E27" s="6"/>
      <c r="F27" s="7">
        <f t="shared" ref="F27:F29" si="15">IF(E27=0,,($E$9-E27)*$E$7*100/$E$9)</f>
        <v>0</v>
      </c>
      <c r="G27" s="6"/>
      <c r="H27" s="7">
        <f>IF(G27=0,,($G$9-G27)*$G$7*100/$G$9)</f>
        <v>0</v>
      </c>
      <c r="I27" s="6"/>
      <c r="J27" s="7">
        <f t="shared" ref="J27:J29" si="16">IF(I27=0,,($I$9-I27)*$I$7*100/$I$9)</f>
        <v>0</v>
      </c>
      <c r="K27" s="6"/>
      <c r="L27" s="7">
        <f t="shared" ref="L27:L29" si="17">IF(K27=0,,($K$9-K27)*$K$7*100/$K$9)</f>
        <v>0</v>
      </c>
      <c r="M27" s="6"/>
      <c r="N27" s="7">
        <f t="shared" ref="N27:N29" si="18">IF(M27=0,,($M$9-M27)*$M$7*100/$M$9)</f>
        <v>0</v>
      </c>
      <c r="O27" s="6"/>
      <c r="P27" s="7">
        <f t="shared" ref="P27:P29" si="19">IF(O27=0,,($M$9-O27)*$M$7*100/$M$9)</f>
        <v>0</v>
      </c>
      <c r="Q27" s="6"/>
      <c r="R27" s="7">
        <f t="shared" ref="R27" si="20">IF(Q27=0,,($Q$9-Q27)*$Q$7*100/$Q$9)</f>
        <v>0</v>
      </c>
      <c r="S27" s="6"/>
      <c r="T27" s="7">
        <f t="shared" ref="T27:T29" si="21">IF(S27=0,,($S$9-S27)*$S$7*100/$S$9)</f>
        <v>0</v>
      </c>
      <c r="U27" s="6"/>
      <c r="V27" s="7">
        <f t="shared" ref="V27" si="22">IF(U27=0,,($U$9-U27)*$U$7*100/$U$9)</f>
        <v>0</v>
      </c>
      <c r="W27" s="6"/>
      <c r="X27" s="7">
        <f t="shared" ref="X27" si="23">IF(W27=0,,($W$9-W27)*$W$7*100/$W$9)</f>
        <v>0</v>
      </c>
      <c r="Y27" s="8">
        <f>X27+H27+T27+N27+F27+J27+L27+R27</f>
        <v>0</v>
      </c>
      <c r="Z27" s="6">
        <f t="shared" ref="Z27:Z29" si="24">COUNTA(E27,G27,I27,K27,Q27,S27,W27,U27)</f>
        <v>0</v>
      </c>
      <c r="AA27" s="6">
        <f t="shared" ref="AA27" si="25">ROW(B27)-10</f>
        <v>17</v>
      </c>
      <c r="AB27" s="17">
        <f t="shared" ref="AB27:AB29" si="26">Z27/$G$3</f>
        <v>0</v>
      </c>
    </row>
    <row r="28" spans="1:28" x14ac:dyDescent="0.3">
      <c r="A28" s="5">
        <f t="shared" ref="A28:A29" si="27">AA28</f>
        <v>18</v>
      </c>
      <c r="B28" s="6"/>
      <c r="C28" s="6"/>
      <c r="D28" s="6"/>
      <c r="E28" s="6"/>
      <c r="F28" s="7">
        <f t="shared" si="15"/>
        <v>0</v>
      </c>
      <c r="G28" s="6"/>
      <c r="H28" s="7">
        <f>IF(G28=0,,($G$9-G28)*$G$7*100/$G$9)</f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6"/>
      <c r="P28" s="7">
        <f t="shared" si="19"/>
        <v>0</v>
      </c>
      <c r="Q28" s="6"/>
      <c r="R28" s="7">
        <f t="shared" ref="R28:R29" si="28">IF(Q28=0,,($Q$9-Q28)*$Q$7*100/$Q$9)</f>
        <v>0</v>
      </c>
      <c r="S28" s="6"/>
      <c r="T28" s="7">
        <f t="shared" si="21"/>
        <v>0</v>
      </c>
      <c r="U28" s="6"/>
      <c r="V28" s="7">
        <f t="shared" ref="V28:V29" si="29">IF(U28=0,,($U$9-U28)*$U$7*100/$U$9)</f>
        <v>0</v>
      </c>
      <c r="W28" s="6"/>
      <c r="X28" s="7">
        <f t="shared" ref="X28:X29" si="30">IF(W28=0,,($W$9-W28)*$W$7*100/$W$9)</f>
        <v>0</v>
      </c>
      <c r="Y28" s="8">
        <f>X28+H28+T28+N28+F28+J28+L28+R28</f>
        <v>0</v>
      </c>
      <c r="Z28" s="6">
        <f t="shared" si="24"/>
        <v>0</v>
      </c>
      <c r="AA28" s="6">
        <f t="shared" ref="AA28:AA29" si="31">ROW(B28)-10</f>
        <v>18</v>
      </c>
      <c r="AB28" s="17">
        <f t="shared" si="26"/>
        <v>0</v>
      </c>
    </row>
    <row r="29" spans="1:28" x14ac:dyDescent="0.3">
      <c r="A29" s="5">
        <f t="shared" si="27"/>
        <v>19</v>
      </c>
      <c r="B29" s="6"/>
      <c r="C29" s="6"/>
      <c r="D29" s="6"/>
      <c r="E29" s="6"/>
      <c r="F29" s="7">
        <f t="shared" si="15"/>
        <v>0</v>
      </c>
      <c r="G29" s="6"/>
      <c r="H29" s="7">
        <f>IF(G29=0,,($G$9-G29)*$G$7*100/$G$9)</f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6"/>
      <c r="P29" s="7">
        <f t="shared" si="19"/>
        <v>0</v>
      </c>
      <c r="Q29" s="6"/>
      <c r="R29" s="7">
        <f t="shared" si="28"/>
        <v>0</v>
      </c>
      <c r="S29" s="6"/>
      <c r="T29" s="7">
        <f t="shared" si="21"/>
        <v>0</v>
      </c>
      <c r="U29" s="6"/>
      <c r="V29" s="7">
        <f t="shared" si="29"/>
        <v>0</v>
      </c>
      <c r="W29" s="6"/>
      <c r="X29" s="7">
        <f t="shared" si="30"/>
        <v>0</v>
      </c>
      <c r="Y29" s="8">
        <f>X29+H29+T29+N29+F29+J29+L29+R29</f>
        <v>0</v>
      </c>
      <c r="Z29" s="6">
        <f t="shared" si="24"/>
        <v>0</v>
      </c>
      <c r="AA29" s="6">
        <f t="shared" si="31"/>
        <v>19</v>
      </c>
      <c r="AB29" s="17">
        <f t="shared" si="26"/>
        <v>0</v>
      </c>
    </row>
    <row r="30" spans="1:28" x14ac:dyDescent="0.3">
      <c r="A30" s="29" t="s">
        <v>18</v>
      </c>
      <c r="B30" s="29"/>
      <c r="C30" s="30"/>
      <c r="E30">
        <f>COUNTA(E11:E29)</f>
        <v>4</v>
      </c>
      <c r="G30">
        <f>COUNTA(G11:G29)</f>
        <v>7</v>
      </c>
      <c r="I30">
        <f>COUNTA(I11:I29)</f>
        <v>6</v>
      </c>
      <c r="K30">
        <f>COUNTA(K11:K29)</f>
        <v>2</v>
      </c>
      <c r="M30">
        <f>COUNTA(M11:M29)</f>
        <v>0</v>
      </c>
      <c r="O30">
        <f>COUNTA(O11:O29)</f>
        <v>1</v>
      </c>
      <c r="Q30">
        <f>COUNTA(Q11:Q29)</f>
        <v>7</v>
      </c>
      <c r="S30">
        <f>COUNTA(S11:S29)</f>
        <v>11</v>
      </c>
      <c r="U30">
        <f>COUNTA(U11:U29)</f>
        <v>7</v>
      </c>
      <c r="W30">
        <f>COUNTA(W11:W29)</f>
        <v>7</v>
      </c>
    </row>
    <row r="31" spans="1:28" x14ac:dyDescent="0.3">
      <c r="A31" s="32" t="s">
        <v>40</v>
      </c>
      <c r="B31" s="32"/>
      <c r="C31" s="32"/>
      <c r="E31" s="16">
        <f>E30/$G$2</f>
        <v>0.25</v>
      </c>
      <c r="G31" s="16">
        <f>G30/$G$2</f>
        <v>0.4375</v>
      </c>
      <c r="I31" s="16">
        <f>I30/$G$2</f>
        <v>0.375</v>
      </c>
      <c r="K31" s="16">
        <f>K30/$G$2</f>
        <v>0.125</v>
      </c>
      <c r="M31" s="16">
        <f>M30/$G$2</f>
        <v>0</v>
      </c>
      <c r="O31" s="16">
        <f>O30/$G$2</f>
        <v>6.25E-2</v>
      </c>
      <c r="Q31" s="16">
        <f>Q30/$G$2</f>
        <v>0.4375</v>
      </c>
      <c r="S31" s="16">
        <f>S30/$G$2</f>
        <v>0.6875</v>
      </c>
      <c r="U31" s="16">
        <f>U30/$G$2</f>
        <v>0.4375</v>
      </c>
      <c r="W31" s="16">
        <f>W30/$G$2</f>
        <v>0.4375</v>
      </c>
    </row>
  </sheetData>
  <sortState xmlns:xlrd2="http://schemas.microsoft.com/office/spreadsheetml/2017/richdata2" ref="A11:AB26">
    <sortCondition descending="1" ref="Y11:Y26"/>
  </sortState>
  <mergeCells count="45">
    <mergeCell ref="O8:P8"/>
    <mergeCell ref="O9:P9"/>
    <mergeCell ref="I9:J9"/>
    <mergeCell ref="W6:X6"/>
    <mergeCell ref="K6:L6"/>
    <mergeCell ref="K7:L7"/>
    <mergeCell ref="W7:X7"/>
    <mergeCell ref="Q6:R6"/>
    <mergeCell ref="Q7:R7"/>
    <mergeCell ref="S6:T6"/>
    <mergeCell ref="S7:T7"/>
    <mergeCell ref="M6:N6"/>
    <mergeCell ref="M7:N7"/>
    <mergeCell ref="U6:V6"/>
    <mergeCell ref="U7:V7"/>
    <mergeCell ref="I6:J6"/>
    <mergeCell ref="A31:C31"/>
    <mergeCell ref="W9:X9"/>
    <mergeCell ref="W8:X8"/>
    <mergeCell ref="G8:H8"/>
    <mergeCell ref="K8:L8"/>
    <mergeCell ref="K9:L9"/>
    <mergeCell ref="A30:C30"/>
    <mergeCell ref="Q8:R8"/>
    <mergeCell ref="Q9:R9"/>
    <mergeCell ref="S8:T8"/>
    <mergeCell ref="S9:T9"/>
    <mergeCell ref="M8:N8"/>
    <mergeCell ref="M9:N9"/>
    <mergeCell ref="I8:J8"/>
    <mergeCell ref="U8:V8"/>
    <mergeCell ref="U9:V9"/>
    <mergeCell ref="G9:H9"/>
    <mergeCell ref="E8:F8"/>
    <mergeCell ref="E7:F7"/>
    <mergeCell ref="G6:H6"/>
    <mergeCell ref="G7:H7"/>
    <mergeCell ref="E9:F9"/>
    <mergeCell ref="I7:J7"/>
    <mergeCell ref="O6:P6"/>
    <mergeCell ref="A1:H1"/>
    <mergeCell ref="E6:F6"/>
    <mergeCell ref="E2:F2"/>
    <mergeCell ref="E3:F3"/>
    <mergeCell ref="O7:P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92"/>
  <sheetViews>
    <sheetView zoomScale="77" zoomScaleNormal="77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G3" sqref="G3"/>
    </sheetView>
  </sheetViews>
  <sheetFormatPr baseColWidth="10" defaultRowHeight="14.4" x14ac:dyDescent="0.3"/>
  <cols>
    <col min="1" max="1" width="18.33203125" bestFit="1" customWidth="1"/>
    <col min="2" max="2" width="19.33203125" customWidth="1"/>
    <col min="4" max="4" width="6.88671875" bestFit="1" customWidth="1"/>
    <col min="5" max="5" width="14.886718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44140625" bestFit="1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88671875" bestFit="1" customWidth="1"/>
    <col min="23" max="23" width="19.6640625" bestFit="1" customWidth="1"/>
  </cols>
  <sheetData>
    <row r="1" spans="1:23" ht="31.2" x14ac:dyDescent="0.6">
      <c r="A1" s="27" t="s">
        <v>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3" x14ac:dyDescent="0.3">
      <c r="E2" s="33" t="s">
        <v>36</v>
      </c>
      <c r="F2" s="33"/>
      <c r="G2" s="15">
        <f>COUNTA(B11:B54)</f>
        <v>41</v>
      </c>
    </row>
    <row r="3" spans="1:23" x14ac:dyDescent="0.3">
      <c r="E3" s="33" t="s">
        <v>38</v>
      </c>
      <c r="F3" s="33"/>
      <c r="G3" s="15">
        <f>COUNTA(F8:S8)</f>
        <v>7</v>
      </c>
    </row>
    <row r="4" spans="1:23" x14ac:dyDescent="0.3">
      <c r="A4" s="10"/>
      <c r="B4" s="11" t="s">
        <v>24</v>
      </c>
      <c r="C4" s="3"/>
      <c r="D4" s="3"/>
    </row>
    <row r="6" spans="1:23" x14ac:dyDescent="0.3">
      <c r="E6" s="1" t="s">
        <v>0</v>
      </c>
      <c r="F6" s="28" t="s">
        <v>25</v>
      </c>
      <c r="G6" s="28"/>
      <c r="H6" s="28" t="s">
        <v>15</v>
      </c>
      <c r="I6" s="28"/>
      <c r="J6" s="28" t="s">
        <v>51</v>
      </c>
      <c r="K6" s="28"/>
      <c r="L6" s="28" t="s">
        <v>28</v>
      </c>
      <c r="M6" s="28"/>
      <c r="N6" s="28" t="s">
        <v>19</v>
      </c>
      <c r="O6" s="28"/>
      <c r="P6" s="28" t="s">
        <v>52</v>
      </c>
      <c r="Q6" s="28"/>
      <c r="R6" s="28" t="s">
        <v>53</v>
      </c>
      <c r="S6" s="28"/>
    </row>
    <row r="7" spans="1:23" x14ac:dyDescent="0.3">
      <c r="E7" s="1" t="s">
        <v>10</v>
      </c>
      <c r="F7" s="25">
        <v>2</v>
      </c>
      <c r="G7" s="26"/>
      <c r="H7" s="25">
        <v>2</v>
      </c>
      <c r="I7" s="26"/>
      <c r="J7" s="25">
        <v>3</v>
      </c>
      <c r="K7" s="26"/>
      <c r="L7" s="25">
        <v>5</v>
      </c>
      <c r="M7" s="26"/>
      <c r="N7" s="25">
        <v>3</v>
      </c>
      <c r="O7" s="26"/>
      <c r="P7" s="25">
        <v>5</v>
      </c>
      <c r="Q7" s="26"/>
      <c r="R7" s="25">
        <v>6</v>
      </c>
      <c r="S7" s="26"/>
    </row>
    <row r="8" spans="1:23" x14ac:dyDescent="0.3">
      <c r="E8" s="1" t="s">
        <v>1</v>
      </c>
      <c r="F8" s="31">
        <v>45207</v>
      </c>
      <c r="G8" s="31"/>
      <c r="H8" s="31">
        <v>45249</v>
      </c>
      <c r="I8" s="31"/>
      <c r="J8" s="31">
        <v>45263</v>
      </c>
      <c r="K8" s="31"/>
      <c r="L8" s="31">
        <v>45326</v>
      </c>
      <c r="M8" s="31"/>
      <c r="N8" s="31">
        <v>45367</v>
      </c>
      <c r="O8" s="31"/>
      <c r="P8" s="31">
        <v>45375</v>
      </c>
      <c r="Q8" s="31"/>
      <c r="R8" s="31">
        <v>45458</v>
      </c>
      <c r="S8" s="31"/>
      <c r="V8" s="15"/>
    </row>
    <row r="9" spans="1:23" x14ac:dyDescent="0.3">
      <c r="E9" s="1" t="s">
        <v>2</v>
      </c>
      <c r="F9" s="25">
        <v>23</v>
      </c>
      <c r="G9" s="26"/>
      <c r="H9" s="25">
        <v>37</v>
      </c>
      <c r="I9" s="26"/>
      <c r="J9" s="25">
        <v>30</v>
      </c>
      <c r="K9" s="26"/>
      <c r="L9" s="25">
        <v>205</v>
      </c>
      <c r="M9" s="26"/>
      <c r="N9" s="25">
        <v>32</v>
      </c>
      <c r="O9" s="26"/>
      <c r="P9" s="25">
        <v>196</v>
      </c>
      <c r="Q9" s="26"/>
      <c r="R9" s="25">
        <v>110</v>
      </c>
      <c r="S9" s="26"/>
    </row>
    <row r="10" spans="1:23" x14ac:dyDescent="0.3">
      <c r="A10" s="1" t="s">
        <v>9</v>
      </c>
      <c r="B10" s="1" t="s">
        <v>3</v>
      </c>
      <c r="C10" s="1" t="s">
        <v>4</v>
      </c>
      <c r="D10" s="12" t="s">
        <v>23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8</v>
      </c>
      <c r="U10" s="1" t="s">
        <v>9</v>
      </c>
      <c r="V10" s="1" t="s">
        <v>39</v>
      </c>
      <c r="W10" s="1" t="s">
        <v>41</v>
      </c>
    </row>
    <row r="11" spans="1:23" x14ac:dyDescent="0.3">
      <c r="A11" s="5">
        <f t="shared" ref="A11:A51" si="0">U11</f>
        <v>1</v>
      </c>
      <c r="B11" s="6" t="s">
        <v>93</v>
      </c>
      <c r="C11" s="6" t="s">
        <v>92</v>
      </c>
      <c r="D11" s="13"/>
      <c r="E11" s="6" t="s">
        <v>91</v>
      </c>
      <c r="F11" s="6">
        <v>2</v>
      </c>
      <c r="G11" s="7">
        <f t="shared" ref="G11:G44" si="1">IF(F11=0,,($F$9-F11)*$F$7*100/$F$9)</f>
        <v>182.60869565217391</v>
      </c>
      <c r="H11" s="6">
        <v>3</v>
      </c>
      <c r="I11" s="7">
        <f t="shared" ref="I11:I50" si="2">IF(H11=0,,($H$9-H11)*$H$7*100/$H$9)</f>
        <v>183.78378378378378</v>
      </c>
      <c r="J11" s="6">
        <v>1</v>
      </c>
      <c r="K11" s="7">
        <f t="shared" ref="K11:K51" si="3">IF(J11=0,,($J$9-J11)*$J$7*100/$J$9)</f>
        <v>290</v>
      </c>
      <c r="L11" s="6">
        <v>3</v>
      </c>
      <c r="M11" s="20">
        <f t="shared" ref="M11:M51" si="4">IF(L11=0,,($L$9-L11)*$L$7*100/$L$9)</f>
        <v>492.6829268292683</v>
      </c>
      <c r="N11" s="6">
        <v>1</v>
      </c>
      <c r="O11" s="20">
        <f t="shared" ref="O11:O41" si="5">IF(N11=0,,($N$9-N11)*$N$7*100/$N$9)</f>
        <v>290.625</v>
      </c>
      <c r="P11" s="18">
        <v>5</v>
      </c>
      <c r="Q11" s="20">
        <f t="shared" ref="Q11:Q51" si="6">IF(P11=0,,($P$9-P11)*$P$7*100/$P$9)</f>
        <v>487.24489795918367</v>
      </c>
      <c r="R11" s="18">
        <v>9</v>
      </c>
      <c r="S11" s="20">
        <f t="shared" ref="S11:S51" si="7">IF(R11=0,,($R$9-R11)*$R$7*100/$R$9)</f>
        <v>550.90909090909088</v>
      </c>
      <c r="T11" s="8">
        <f>Q11+S11+M11+O11</f>
        <v>1821.461915697543</v>
      </c>
      <c r="U11" s="6">
        <f t="shared" ref="U11:U51" si="8">ROW(B11)-10</f>
        <v>1</v>
      </c>
      <c r="V11" s="6">
        <f t="shared" ref="V11:V51" si="9">COUNTA(F11,H11,J11,L11,N11,R11,P11)</f>
        <v>7</v>
      </c>
      <c r="W11" s="17">
        <f t="shared" ref="W11:W51" si="10">V11/$G$3</f>
        <v>1</v>
      </c>
    </row>
    <row r="12" spans="1:23" x14ac:dyDescent="0.3">
      <c r="A12" s="5">
        <f t="shared" si="0"/>
        <v>2</v>
      </c>
      <c r="B12" s="6" t="s">
        <v>94</v>
      </c>
      <c r="C12" s="6" t="s">
        <v>95</v>
      </c>
      <c r="D12" s="13"/>
      <c r="E12" s="6" t="s">
        <v>90</v>
      </c>
      <c r="F12" s="6">
        <v>3</v>
      </c>
      <c r="G12" s="7">
        <f t="shared" si="1"/>
        <v>173.91304347826087</v>
      </c>
      <c r="H12" s="6">
        <v>1</v>
      </c>
      <c r="I12" s="7">
        <f t="shared" si="2"/>
        <v>194.59459459459458</v>
      </c>
      <c r="J12" s="6">
        <v>2</v>
      </c>
      <c r="K12" s="20">
        <f t="shared" si="3"/>
        <v>280</v>
      </c>
      <c r="L12" s="6">
        <v>13</v>
      </c>
      <c r="M12" s="20">
        <f t="shared" si="4"/>
        <v>468.29268292682929</v>
      </c>
      <c r="N12" s="6">
        <v>5</v>
      </c>
      <c r="O12" s="7">
        <f t="shared" si="5"/>
        <v>253.125</v>
      </c>
      <c r="P12" s="18">
        <v>7</v>
      </c>
      <c r="Q12" s="20">
        <f t="shared" si="6"/>
        <v>482.14285714285717</v>
      </c>
      <c r="R12" s="18">
        <v>3</v>
      </c>
      <c r="S12" s="20">
        <f t="shared" si="7"/>
        <v>583.63636363636363</v>
      </c>
      <c r="T12" s="8">
        <f>Q12+K12+M12+S12</f>
        <v>1814.0719037060499</v>
      </c>
      <c r="U12" s="6">
        <f t="shared" si="8"/>
        <v>2</v>
      </c>
      <c r="V12" s="6">
        <f t="shared" si="9"/>
        <v>7</v>
      </c>
      <c r="W12" s="17">
        <f t="shared" si="10"/>
        <v>1</v>
      </c>
    </row>
    <row r="13" spans="1:23" x14ac:dyDescent="0.3">
      <c r="A13" s="5">
        <f t="shared" si="0"/>
        <v>3</v>
      </c>
      <c r="B13" s="6" t="s">
        <v>112</v>
      </c>
      <c r="C13" s="6" t="s">
        <v>113</v>
      </c>
      <c r="D13" s="13"/>
      <c r="E13" s="6" t="s">
        <v>91</v>
      </c>
      <c r="F13" s="6">
        <v>10</v>
      </c>
      <c r="G13" s="7">
        <f t="shared" si="1"/>
        <v>113.04347826086956</v>
      </c>
      <c r="H13" s="6"/>
      <c r="I13" s="7">
        <f t="shared" si="2"/>
        <v>0</v>
      </c>
      <c r="J13" s="6">
        <v>3</v>
      </c>
      <c r="K13" s="7">
        <f t="shared" si="3"/>
        <v>270</v>
      </c>
      <c r="L13" s="6">
        <v>34</v>
      </c>
      <c r="M13" s="20">
        <f t="shared" si="4"/>
        <v>417.07317073170731</v>
      </c>
      <c r="N13" s="6">
        <v>3</v>
      </c>
      <c r="O13" s="20">
        <f t="shared" si="5"/>
        <v>271.875</v>
      </c>
      <c r="P13" s="6">
        <v>52</v>
      </c>
      <c r="Q13" s="20">
        <f t="shared" si="6"/>
        <v>367.34693877551018</v>
      </c>
      <c r="R13" s="6">
        <v>16</v>
      </c>
      <c r="S13" s="20">
        <f t="shared" si="7"/>
        <v>512.72727272727275</v>
      </c>
      <c r="T13" s="8">
        <f>Q13+S13+M13+O13</f>
        <v>1569.0223822344901</v>
      </c>
      <c r="U13" s="6">
        <f t="shared" si="8"/>
        <v>3</v>
      </c>
      <c r="V13" s="6">
        <f t="shared" si="9"/>
        <v>6</v>
      </c>
      <c r="W13" s="17">
        <f t="shared" si="10"/>
        <v>0.8571428571428571</v>
      </c>
    </row>
    <row r="14" spans="1:23" x14ac:dyDescent="0.3">
      <c r="A14" s="5">
        <f t="shared" si="0"/>
        <v>4</v>
      </c>
      <c r="B14" s="6" t="s">
        <v>104</v>
      </c>
      <c r="C14" s="6" t="s">
        <v>105</v>
      </c>
      <c r="D14" s="13"/>
      <c r="E14" s="6" t="s">
        <v>90</v>
      </c>
      <c r="F14" s="6">
        <v>7</v>
      </c>
      <c r="G14" s="7">
        <f t="shared" si="1"/>
        <v>139.13043478260869</v>
      </c>
      <c r="H14" s="6">
        <v>13</v>
      </c>
      <c r="I14" s="7">
        <f t="shared" si="2"/>
        <v>129.72972972972974</v>
      </c>
      <c r="J14" s="6">
        <v>5</v>
      </c>
      <c r="K14" s="20">
        <f t="shared" si="3"/>
        <v>250</v>
      </c>
      <c r="L14" s="6">
        <v>27</v>
      </c>
      <c r="M14" s="20">
        <f t="shared" si="4"/>
        <v>434.14634146341461</v>
      </c>
      <c r="N14" s="6">
        <v>2</v>
      </c>
      <c r="O14" s="20">
        <f t="shared" si="5"/>
        <v>281.25</v>
      </c>
      <c r="P14" s="6">
        <v>28</v>
      </c>
      <c r="Q14" s="20">
        <f t="shared" si="6"/>
        <v>428.57142857142856</v>
      </c>
      <c r="R14" s="6">
        <v>75</v>
      </c>
      <c r="S14" s="7">
        <f t="shared" si="7"/>
        <v>190.90909090909091</v>
      </c>
      <c r="T14" s="8">
        <f>Q14+K14+M14+O14</f>
        <v>1393.9677700348432</v>
      </c>
      <c r="U14" s="6">
        <f t="shared" si="8"/>
        <v>4</v>
      </c>
      <c r="V14" s="6">
        <f t="shared" si="9"/>
        <v>7</v>
      </c>
      <c r="W14" s="17">
        <f t="shared" si="10"/>
        <v>1</v>
      </c>
    </row>
    <row r="15" spans="1:23" x14ac:dyDescent="0.3">
      <c r="A15" s="5">
        <f t="shared" si="0"/>
        <v>5</v>
      </c>
      <c r="B15" s="6" t="s">
        <v>88</v>
      </c>
      <c r="C15" s="6" t="s">
        <v>89</v>
      </c>
      <c r="D15" s="13"/>
      <c r="E15" s="6" t="s">
        <v>90</v>
      </c>
      <c r="F15" s="6">
        <v>1</v>
      </c>
      <c r="G15" s="7">
        <f t="shared" si="1"/>
        <v>191.30434782608697</v>
      </c>
      <c r="H15" s="6">
        <v>7</v>
      </c>
      <c r="I15" s="7">
        <f t="shared" si="2"/>
        <v>162.16216216216216</v>
      </c>
      <c r="J15" s="6">
        <v>6</v>
      </c>
      <c r="K15" s="20">
        <f t="shared" si="3"/>
        <v>240</v>
      </c>
      <c r="L15" s="6">
        <v>14</v>
      </c>
      <c r="M15" s="20">
        <f t="shared" si="4"/>
        <v>465.85365853658539</v>
      </c>
      <c r="N15" s="6">
        <v>11</v>
      </c>
      <c r="O15" s="7">
        <f t="shared" si="5"/>
        <v>196.875</v>
      </c>
      <c r="P15" s="18">
        <v>83</v>
      </c>
      <c r="Q15" s="20">
        <f t="shared" si="6"/>
        <v>288.26530612244898</v>
      </c>
      <c r="R15" s="18">
        <v>39</v>
      </c>
      <c r="S15" s="20">
        <f t="shared" si="7"/>
        <v>387.27272727272725</v>
      </c>
      <c r="T15" s="8">
        <f>Q15+K15+M15+S15</f>
        <v>1381.3916919317617</v>
      </c>
      <c r="U15" s="6">
        <f t="shared" si="8"/>
        <v>5</v>
      </c>
      <c r="V15" s="6">
        <f t="shared" si="9"/>
        <v>7</v>
      </c>
      <c r="W15" s="17">
        <f t="shared" si="10"/>
        <v>1</v>
      </c>
    </row>
    <row r="16" spans="1:23" x14ac:dyDescent="0.3">
      <c r="A16" s="5">
        <f t="shared" si="0"/>
        <v>6</v>
      </c>
      <c r="B16" s="6" t="s">
        <v>106</v>
      </c>
      <c r="C16" s="6" t="s">
        <v>107</v>
      </c>
      <c r="D16" s="13"/>
      <c r="E16" s="6" t="s">
        <v>108</v>
      </c>
      <c r="F16" s="6">
        <v>8</v>
      </c>
      <c r="G16" s="7">
        <f t="shared" si="1"/>
        <v>130.43478260869566</v>
      </c>
      <c r="H16" s="6">
        <v>11</v>
      </c>
      <c r="I16" s="7">
        <f t="shared" si="2"/>
        <v>140.54054054054055</v>
      </c>
      <c r="J16" s="6">
        <v>11</v>
      </c>
      <c r="K16" s="20">
        <f t="shared" si="3"/>
        <v>190</v>
      </c>
      <c r="L16" s="6">
        <v>32</v>
      </c>
      <c r="M16" s="20">
        <f t="shared" si="4"/>
        <v>421.95121951219511</v>
      </c>
      <c r="N16" s="6">
        <v>9</v>
      </c>
      <c r="O16" s="20">
        <f t="shared" si="5"/>
        <v>215.625</v>
      </c>
      <c r="P16" s="18">
        <v>23</v>
      </c>
      <c r="Q16" s="20">
        <f t="shared" si="6"/>
        <v>441.32653061224488</v>
      </c>
      <c r="R16" s="18">
        <v>81</v>
      </c>
      <c r="S16" s="7">
        <f t="shared" si="7"/>
        <v>158.18181818181819</v>
      </c>
      <c r="T16" s="8">
        <f>Q16+K16+M16+O16</f>
        <v>1268.90275012444</v>
      </c>
      <c r="U16" s="6">
        <f t="shared" si="8"/>
        <v>6</v>
      </c>
      <c r="V16" s="6">
        <f t="shared" si="9"/>
        <v>7</v>
      </c>
      <c r="W16" s="17">
        <f t="shared" si="10"/>
        <v>1</v>
      </c>
    </row>
    <row r="17" spans="1:23" x14ac:dyDescent="0.3">
      <c r="A17" s="5">
        <f t="shared" si="0"/>
        <v>7</v>
      </c>
      <c r="B17" s="6" t="s">
        <v>96</v>
      </c>
      <c r="C17" s="6" t="s">
        <v>97</v>
      </c>
      <c r="D17" s="13"/>
      <c r="E17" s="6" t="s">
        <v>90</v>
      </c>
      <c r="F17" s="6">
        <v>4</v>
      </c>
      <c r="G17" s="20">
        <f t="shared" si="1"/>
        <v>165.21739130434781</v>
      </c>
      <c r="H17" s="6"/>
      <c r="I17" s="7">
        <f t="shared" si="2"/>
        <v>0</v>
      </c>
      <c r="J17" s="6">
        <v>15</v>
      </c>
      <c r="K17" s="7">
        <f t="shared" si="3"/>
        <v>150</v>
      </c>
      <c r="L17" s="6">
        <v>93</v>
      </c>
      <c r="M17" s="20">
        <f t="shared" si="4"/>
        <v>273.17073170731709</v>
      </c>
      <c r="N17" s="6">
        <v>17</v>
      </c>
      <c r="O17" s="7">
        <f t="shared" si="5"/>
        <v>140.625</v>
      </c>
      <c r="P17" s="18">
        <v>58</v>
      </c>
      <c r="Q17" s="20">
        <f t="shared" si="6"/>
        <v>352.0408163265306</v>
      </c>
      <c r="R17" s="18">
        <v>43</v>
      </c>
      <c r="S17" s="20">
        <f t="shared" si="7"/>
        <v>365.45454545454544</v>
      </c>
      <c r="T17" s="8">
        <f>Q17+S17+M17+G17</f>
        <v>1155.883484792741</v>
      </c>
      <c r="U17" s="6">
        <f t="shared" si="8"/>
        <v>7</v>
      </c>
      <c r="V17" s="6">
        <f t="shared" si="9"/>
        <v>6</v>
      </c>
      <c r="W17" s="17">
        <f t="shared" si="10"/>
        <v>0.8571428571428571</v>
      </c>
    </row>
    <row r="18" spans="1:23" x14ac:dyDescent="0.3">
      <c r="A18" s="5">
        <f t="shared" si="0"/>
        <v>8</v>
      </c>
      <c r="B18" s="6" t="s">
        <v>110</v>
      </c>
      <c r="C18" s="6" t="s">
        <v>109</v>
      </c>
      <c r="D18" s="13"/>
      <c r="E18" s="6" t="s">
        <v>111</v>
      </c>
      <c r="F18" s="6">
        <v>9</v>
      </c>
      <c r="G18" s="7">
        <f t="shared" si="1"/>
        <v>121.73913043478261</v>
      </c>
      <c r="H18" s="6">
        <v>9</v>
      </c>
      <c r="I18" s="7">
        <f t="shared" si="2"/>
        <v>151.35135135135135</v>
      </c>
      <c r="J18" s="6">
        <v>8</v>
      </c>
      <c r="K18" s="20">
        <f t="shared" si="3"/>
        <v>220</v>
      </c>
      <c r="L18" s="6">
        <v>84</v>
      </c>
      <c r="M18" s="20">
        <f t="shared" si="4"/>
        <v>295.1219512195122</v>
      </c>
      <c r="N18" s="6">
        <v>6</v>
      </c>
      <c r="O18" s="20">
        <f t="shared" si="5"/>
        <v>243.75</v>
      </c>
      <c r="P18" s="6">
        <v>47</v>
      </c>
      <c r="Q18" s="20">
        <f t="shared" si="6"/>
        <v>380.10204081632651</v>
      </c>
      <c r="R18" s="6">
        <v>70</v>
      </c>
      <c r="S18" s="7">
        <f t="shared" si="7"/>
        <v>218.18181818181819</v>
      </c>
      <c r="T18" s="8">
        <f>Q18+K18+M18+O18</f>
        <v>1138.9739920358388</v>
      </c>
      <c r="U18" s="6">
        <f t="shared" si="8"/>
        <v>8</v>
      </c>
      <c r="V18" s="6">
        <f t="shared" si="9"/>
        <v>7</v>
      </c>
      <c r="W18" s="17">
        <f t="shared" si="10"/>
        <v>1</v>
      </c>
    </row>
    <row r="19" spans="1:23" x14ac:dyDescent="0.3">
      <c r="A19" s="5">
        <f t="shared" si="0"/>
        <v>9</v>
      </c>
      <c r="B19" s="6" t="s">
        <v>215</v>
      </c>
      <c r="C19" s="6" t="s">
        <v>447</v>
      </c>
      <c r="D19" s="6"/>
      <c r="E19" s="6" t="s">
        <v>90</v>
      </c>
      <c r="F19" s="6"/>
      <c r="G19" s="7">
        <f t="shared" si="1"/>
        <v>0</v>
      </c>
      <c r="H19" s="6"/>
      <c r="I19" s="7">
        <f t="shared" si="2"/>
        <v>0</v>
      </c>
      <c r="J19" s="6">
        <v>10</v>
      </c>
      <c r="K19" s="20">
        <f t="shared" si="3"/>
        <v>200</v>
      </c>
      <c r="L19" s="6"/>
      <c r="M19" s="7">
        <f t="shared" si="4"/>
        <v>0</v>
      </c>
      <c r="N19" s="6">
        <v>8</v>
      </c>
      <c r="O19" s="20">
        <f t="shared" si="5"/>
        <v>225</v>
      </c>
      <c r="P19" s="6">
        <v>77</v>
      </c>
      <c r="Q19" s="20">
        <f t="shared" si="6"/>
        <v>303.57142857142856</v>
      </c>
      <c r="R19" s="6">
        <v>37</v>
      </c>
      <c r="S19" s="20">
        <f t="shared" si="7"/>
        <v>398.18181818181819</v>
      </c>
      <c r="T19" s="8">
        <f>K19+O19+Q19+S19</f>
        <v>1126.7532467532467</v>
      </c>
      <c r="U19" s="6">
        <f t="shared" si="8"/>
        <v>9</v>
      </c>
      <c r="V19" s="6">
        <f t="shared" si="9"/>
        <v>4</v>
      </c>
      <c r="W19" s="17">
        <f t="shared" si="10"/>
        <v>0.5714285714285714</v>
      </c>
    </row>
    <row r="20" spans="1:23" x14ac:dyDescent="0.3">
      <c r="A20" s="5">
        <f t="shared" si="0"/>
        <v>10</v>
      </c>
      <c r="B20" s="6" t="s">
        <v>98</v>
      </c>
      <c r="C20" s="6" t="s">
        <v>99</v>
      </c>
      <c r="D20" s="13"/>
      <c r="E20" s="6" t="s">
        <v>100</v>
      </c>
      <c r="F20" s="6">
        <v>5</v>
      </c>
      <c r="G20" s="7">
        <f t="shared" si="1"/>
        <v>156.52173913043478</v>
      </c>
      <c r="H20" s="6">
        <v>10</v>
      </c>
      <c r="I20" s="7">
        <f t="shared" si="2"/>
        <v>145.94594594594594</v>
      </c>
      <c r="J20" s="6">
        <v>3</v>
      </c>
      <c r="K20" s="20">
        <f t="shared" si="3"/>
        <v>270</v>
      </c>
      <c r="L20" s="6">
        <v>88</v>
      </c>
      <c r="M20" s="20">
        <f t="shared" si="4"/>
        <v>285.36585365853659</v>
      </c>
      <c r="N20" s="6">
        <v>7</v>
      </c>
      <c r="O20" s="20">
        <f t="shared" si="5"/>
        <v>234.375</v>
      </c>
      <c r="P20" s="18">
        <v>73</v>
      </c>
      <c r="Q20" s="20">
        <f t="shared" si="6"/>
        <v>313.77551020408163</v>
      </c>
      <c r="R20" s="18"/>
      <c r="S20" s="7">
        <f t="shared" si="7"/>
        <v>0</v>
      </c>
      <c r="T20" s="8">
        <f t="shared" ref="T20:T29" si="11">Q20+K20+M20+O20</f>
        <v>1103.5163638626182</v>
      </c>
      <c r="U20" s="6">
        <f t="shared" si="8"/>
        <v>10</v>
      </c>
      <c r="V20" s="6">
        <f t="shared" si="9"/>
        <v>6</v>
      </c>
      <c r="W20" s="17">
        <f t="shared" si="10"/>
        <v>0.8571428571428571</v>
      </c>
    </row>
    <row r="21" spans="1:23" x14ac:dyDescent="0.3">
      <c r="A21" s="5">
        <f t="shared" si="0"/>
        <v>11</v>
      </c>
      <c r="B21" s="6" t="s">
        <v>126</v>
      </c>
      <c r="C21" s="6" t="s">
        <v>127</v>
      </c>
      <c r="D21" s="6"/>
      <c r="E21" s="6" t="s">
        <v>116</v>
      </c>
      <c r="F21" s="6">
        <v>16</v>
      </c>
      <c r="G21" s="7">
        <f t="shared" si="1"/>
        <v>60.869565217391305</v>
      </c>
      <c r="H21" s="6">
        <v>8</v>
      </c>
      <c r="I21" s="7">
        <f t="shared" si="2"/>
        <v>156.75675675675674</v>
      </c>
      <c r="J21" s="6">
        <v>7</v>
      </c>
      <c r="K21" s="20">
        <f t="shared" si="3"/>
        <v>230</v>
      </c>
      <c r="L21" s="6">
        <v>92</v>
      </c>
      <c r="M21" s="20">
        <f t="shared" si="4"/>
        <v>275.60975609756099</v>
      </c>
      <c r="N21" s="6">
        <v>12</v>
      </c>
      <c r="O21" s="20">
        <f t="shared" si="5"/>
        <v>187.5</v>
      </c>
      <c r="P21" s="6">
        <v>40</v>
      </c>
      <c r="Q21" s="20">
        <f t="shared" si="6"/>
        <v>397.9591836734694</v>
      </c>
      <c r="R21" s="6">
        <v>86</v>
      </c>
      <c r="S21" s="7">
        <f t="shared" si="7"/>
        <v>130.90909090909091</v>
      </c>
      <c r="T21" s="8">
        <f t="shared" si="11"/>
        <v>1091.0689397710303</v>
      </c>
      <c r="U21" s="6">
        <f t="shared" si="8"/>
        <v>11</v>
      </c>
      <c r="V21" s="6">
        <f t="shared" si="9"/>
        <v>7</v>
      </c>
      <c r="W21" s="17">
        <f t="shared" si="10"/>
        <v>1</v>
      </c>
    </row>
    <row r="22" spans="1:23" x14ac:dyDescent="0.3">
      <c r="A22" s="5">
        <f t="shared" si="0"/>
        <v>12</v>
      </c>
      <c r="B22" s="6" t="s">
        <v>118</v>
      </c>
      <c r="C22" s="6" t="s">
        <v>119</v>
      </c>
      <c r="D22" s="13"/>
      <c r="E22" s="6" t="s">
        <v>90</v>
      </c>
      <c r="F22" s="6">
        <v>12</v>
      </c>
      <c r="G22" s="7">
        <f t="shared" si="1"/>
        <v>95.652173913043484</v>
      </c>
      <c r="H22" s="6">
        <v>19</v>
      </c>
      <c r="I22" s="7">
        <f t="shared" si="2"/>
        <v>97.297297297297291</v>
      </c>
      <c r="J22" s="6">
        <v>9</v>
      </c>
      <c r="K22" s="20">
        <f t="shared" si="3"/>
        <v>210</v>
      </c>
      <c r="L22" s="6">
        <v>89</v>
      </c>
      <c r="M22" s="20">
        <f t="shared" si="4"/>
        <v>282.92682926829269</v>
      </c>
      <c r="N22" s="6">
        <v>3</v>
      </c>
      <c r="O22" s="20">
        <f t="shared" si="5"/>
        <v>271.875</v>
      </c>
      <c r="P22" s="18">
        <v>135</v>
      </c>
      <c r="Q22" s="20">
        <f t="shared" si="6"/>
        <v>155.61224489795919</v>
      </c>
      <c r="R22" s="18"/>
      <c r="S22" s="7">
        <f t="shared" si="7"/>
        <v>0</v>
      </c>
      <c r="T22" s="8">
        <f t="shared" si="11"/>
        <v>920.41407416625179</v>
      </c>
      <c r="U22" s="6">
        <f t="shared" si="8"/>
        <v>12</v>
      </c>
      <c r="V22" s="6">
        <f t="shared" si="9"/>
        <v>6</v>
      </c>
      <c r="W22" s="17">
        <f t="shared" si="10"/>
        <v>0.8571428571428571</v>
      </c>
    </row>
    <row r="23" spans="1:23" x14ac:dyDescent="0.3">
      <c r="A23" s="5">
        <f t="shared" si="0"/>
        <v>13</v>
      </c>
      <c r="B23" s="6" t="s">
        <v>114</v>
      </c>
      <c r="C23" s="6" t="s">
        <v>115</v>
      </c>
      <c r="D23" s="13"/>
      <c r="E23" s="6" t="s">
        <v>90</v>
      </c>
      <c r="F23" s="6">
        <v>11</v>
      </c>
      <c r="G23" s="7">
        <f t="shared" si="1"/>
        <v>104.34782608695652</v>
      </c>
      <c r="H23" s="6"/>
      <c r="I23" s="7">
        <f t="shared" si="2"/>
        <v>0</v>
      </c>
      <c r="J23" s="6">
        <v>13</v>
      </c>
      <c r="K23" s="20">
        <f t="shared" si="3"/>
        <v>170</v>
      </c>
      <c r="L23" s="6">
        <v>98</v>
      </c>
      <c r="M23" s="20">
        <f t="shared" si="4"/>
        <v>260.97560975609758</v>
      </c>
      <c r="N23" s="6">
        <v>14</v>
      </c>
      <c r="O23" s="20">
        <f t="shared" si="5"/>
        <v>168.75</v>
      </c>
      <c r="P23" s="6">
        <v>71</v>
      </c>
      <c r="Q23" s="20">
        <f t="shared" si="6"/>
        <v>318.87755102040819</v>
      </c>
      <c r="R23" s="6">
        <v>104</v>
      </c>
      <c r="S23" s="7">
        <f t="shared" si="7"/>
        <v>32.727272727272727</v>
      </c>
      <c r="T23" s="8">
        <f t="shared" si="11"/>
        <v>918.60316077650577</v>
      </c>
      <c r="U23" s="6">
        <f t="shared" si="8"/>
        <v>13</v>
      </c>
      <c r="V23" s="6">
        <f t="shared" si="9"/>
        <v>6</v>
      </c>
      <c r="W23" s="17">
        <f t="shared" si="10"/>
        <v>0.8571428571428571</v>
      </c>
    </row>
    <row r="24" spans="1:23" x14ac:dyDescent="0.3">
      <c r="A24" s="5">
        <f t="shared" si="0"/>
        <v>14</v>
      </c>
      <c r="B24" s="6" t="s">
        <v>101</v>
      </c>
      <c r="C24" s="6" t="s">
        <v>102</v>
      </c>
      <c r="D24" s="13"/>
      <c r="E24" s="6" t="s">
        <v>103</v>
      </c>
      <c r="F24" s="6">
        <v>6</v>
      </c>
      <c r="G24" s="7">
        <f t="shared" si="1"/>
        <v>147.82608695652175</v>
      </c>
      <c r="H24" s="6">
        <v>23</v>
      </c>
      <c r="I24" s="7">
        <f t="shared" si="2"/>
        <v>75.675675675675677</v>
      </c>
      <c r="J24" s="6">
        <v>11</v>
      </c>
      <c r="K24" s="20">
        <f t="shared" si="3"/>
        <v>190</v>
      </c>
      <c r="L24" s="6">
        <v>113</v>
      </c>
      <c r="M24" s="20">
        <f t="shared" si="4"/>
        <v>224.39024390243901</v>
      </c>
      <c r="N24" s="6">
        <v>16</v>
      </c>
      <c r="O24" s="20">
        <f t="shared" si="5"/>
        <v>150</v>
      </c>
      <c r="P24" s="6">
        <v>119</v>
      </c>
      <c r="Q24" s="20">
        <f t="shared" si="6"/>
        <v>196.42857142857142</v>
      </c>
      <c r="R24" s="6"/>
      <c r="S24" s="7">
        <f t="shared" si="7"/>
        <v>0</v>
      </c>
      <c r="T24" s="8">
        <f t="shared" si="11"/>
        <v>760.81881533101046</v>
      </c>
      <c r="U24" s="6">
        <f t="shared" si="8"/>
        <v>14</v>
      </c>
      <c r="V24" s="6">
        <f t="shared" si="9"/>
        <v>6</v>
      </c>
      <c r="W24" s="17">
        <f t="shared" si="10"/>
        <v>0.8571428571428571</v>
      </c>
    </row>
    <row r="25" spans="1:23" x14ac:dyDescent="0.3">
      <c r="A25" s="5">
        <f t="shared" si="0"/>
        <v>15</v>
      </c>
      <c r="B25" s="6" t="s">
        <v>120</v>
      </c>
      <c r="C25" s="6" t="s">
        <v>121</v>
      </c>
      <c r="D25" s="6"/>
      <c r="E25" s="6" t="s">
        <v>116</v>
      </c>
      <c r="F25" s="6">
        <v>13</v>
      </c>
      <c r="G25" s="7">
        <f t="shared" si="1"/>
        <v>86.956521739130437</v>
      </c>
      <c r="H25" s="6">
        <v>22</v>
      </c>
      <c r="I25" s="7">
        <f t="shared" si="2"/>
        <v>81.081081081081081</v>
      </c>
      <c r="J25" s="6">
        <v>18</v>
      </c>
      <c r="K25" s="20">
        <f t="shared" si="3"/>
        <v>120</v>
      </c>
      <c r="L25" s="6">
        <v>131</v>
      </c>
      <c r="M25" s="20">
        <f t="shared" si="4"/>
        <v>180.48780487804879</v>
      </c>
      <c r="N25" s="6">
        <v>10</v>
      </c>
      <c r="O25" s="20">
        <f t="shared" si="5"/>
        <v>206.25</v>
      </c>
      <c r="P25" s="6">
        <v>110</v>
      </c>
      <c r="Q25" s="20">
        <f t="shared" si="6"/>
        <v>219.38775510204081</v>
      </c>
      <c r="R25" s="6"/>
      <c r="S25" s="7">
        <f t="shared" si="7"/>
        <v>0</v>
      </c>
      <c r="T25" s="8">
        <f t="shared" si="11"/>
        <v>726.12555998008963</v>
      </c>
      <c r="U25" s="6">
        <f t="shared" si="8"/>
        <v>15</v>
      </c>
      <c r="V25" s="6">
        <f t="shared" si="9"/>
        <v>6</v>
      </c>
      <c r="W25" s="17">
        <f t="shared" si="10"/>
        <v>0.8571428571428571</v>
      </c>
    </row>
    <row r="26" spans="1:23" x14ac:dyDescent="0.3">
      <c r="A26" s="5">
        <f t="shared" si="0"/>
        <v>16</v>
      </c>
      <c r="B26" s="6" t="s">
        <v>130</v>
      </c>
      <c r="C26" s="6" t="s">
        <v>131</v>
      </c>
      <c r="D26" s="6"/>
      <c r="E26" s="6" t="s">
        <v>117</v>
      </c>
      <c r="F26" s="6">
        <v>18</v>
      </c>
      <c r="G26" s="7">
        <f t="shared" si="1"/>
        <v>43.478260869565219</v>
      </c>
      <c r="H26" s="6">
        <v>28</v>
      </c>
      <c r="I26" s="7">
        <f t="shared" si="2"/>
        <v>48.648648648648646</v>
      </c>
      <c r="J26" s="6">
        <v>17</v>
      </c>
      <c r="K26" s="20">
        <f t="shared" si="3"/>
        <v>130</v>
      </c>
      <c r="L26" s="6">
        <v>109</v>
      </c>
      <c r="M26" s="20">
        <f t="shared" si="4"/>
        <v>234.14634146341464</v>
      </c>
      <c r="N26" s="6">
        <v>13</v>
      </c>
      <c r="O26" s="20">
        <f t="shared" si="5"/>
        <v>178.125</v>
      </c>
      <c r="P26" s="6">
        <v>142</v>
      </c>
      <c r="Q26" s="20">
        <f t="shared" si="6"/>
        <v>137.75510204081633</v>
      </c>
      <c r="R26" s="6"/>
      <c r="S26" s="7">
        <f t="shared" si="7"/>
        <v>0</v>
      </c>
      <c r="T26" s="8">
        <f t="shared" si="11"/>
        <v>680.026443504231</v>
      </c>
      <c r="U26" s="6">
        <f t="shared" si="8"/>
        <v>16</v>
      </c>
      <c r="V26" s="6">
        <f t="shared" si="9"/>
        <v>6</v>
      </c>
      <c r="W26" s="17">
        <f t="shared" si="10"/>
        <v>0.8571428571428571</v>
      </c>
    </row>
    <row r="27" spans="1:23" x14ac:dyDescent="0.3">
      <c r="A27" s="5">
        <f t="shared" si="0"/>
        <v>17</v>
      </c>
      <c r="B27" s="6" t="s">
        <v>135</v>
      </c>
      <c r="C27" s="6" t="s">
        <v>134</v>
      </c>
      <c r="D27" s="6"/>
      <c r="E27" s="6" t="s">
        <v>91</v>
      </c>
      <c r="F27" s="6">
        <v>20</v>
      </c>
      <c r="G27" s="7">
        <f t="shared" si="1"/>
        <v>26.086956521739129</v>
      </c>
      <c r="H27" s="6"/>
      <c r="I27" s="7">
        <f t="shared" si="2"/>
        <v>0</v>
      </c>
      <c r="J27" s="6">
        <v>21</v>
      </c>
      <c r="K27" s="20">
        <f t="shared" si="3"/>
        <v>90</v>
      </c>
      <c r="L27" s="6">
        <v>177</v>
      </c>
      <c r="M27" s="20">
        <f t="shared" si="4"/>
        <v>68.292682926829272</v>
      </c>
      <c r="N27" s="6">
        <v>21</v>
      </c>
      <c r="O27" s="20">
        <f t="shared" si="5"/>
        <v>103.125</v>
      </c>
      <c r="P27" s="6">
        <v>74</v>
      </c>
      <c r="Q27" s="20">
        <f t="shared" si="6"/>
        <v>311.22448979591837</v>
      </c>
      <c r="R27" s="6"/>
      <c r="S27" s="7">
        <f t="shared" si="7"/>
        <v>0</v>
      </c>
      <c r="T27" s="8">
        <f t="shared" si="11"/>
        <v>572.64217272274766</v>
      </c>
      <c r="U27" s="6">
        <f t="shared" si="8"/>
        <v>17</v>
      </c>
      <c r="V27" s="6">
        <f t="shared" si="9"/>
        <v>5</v>
      </c>
      <c r="W27" s="17">
        <f t="shared" si="10"/>
        <v>0.7142857142857143</v>
      </c>
    </row>
    <row r="28" spans="1:23" x14ac:dyDescent="0.3">
      <c r="A28" s="5">
        <f t="shared" si="0"/>
        <v>18</v>
      </c>
      <c r="B28" s="6" t="s">
        <v>287</v>
      </c>
      <c r="C28" s="6" t="s">
        <v>288</v>
      </c>
      <c r="D28" s="6"/>
      <c r="E28" s="6" t="s">
        <v>100</v>
      </c>
      <c r="F28" s="6"/>
      <c r="G28" s="7">
        <f t="shared" si="1"/>
        <v>0</v>
      </c>
      <c r="H28" s="6"/>
      <c r="I28" s="7">
        <f t="shared" si="2"/>
        <v>0</v>
      </c>
      <c r="J28" s="6">
        <v>15</v>
      </c>
      <c r="K28" s="20">
        <f t="shared" si="3"/>
        <v>150</v>
      </c>
      <c r="L28" s="6">
        <v>154</v>
      </c>
      <c r="M28" s="20">
        <f t="shared" si="4"/>
        <v>124.39024390243902</v>
      </c>
      <c r="N28" s="6">
        <v>24</v>
      </c>
      <c r="O28" s="20">
        <f t="shared" si="5"/>
        <v>75</v>
      </c>
      <c r="P28" s="6">
        <v>157</v>
      </c>
      <c r="Q28" s="20">
        <f t="shared" si="6"/>
        <v>99.489795918367349</v>
      </c>
      <c r="R28" s="6"/>
      <c r="S28" s="7">
        <f t="shared" si="7"/>
        <v>0</v>
      </c>
      <c r="T28" s="8">
        <f t="shared" si="11"/>
        <v>448.88003982080636</v>
      </c>
      <c r="U28" s="6">
        <f t="shared" si="8"/>
        <v>18</v>
      </c>
      <c r="V28" s="6">
        <f t="shared" si="9"/>
        <v>4</v>
      </c>
      <c r="W28" s="17">
        <f t="shared" si="10"/>
        <v>0.5714285714285714</v>
      </c>
    </row>
    <row r="29" spans="1:23" x14ac:dyDescent="0.3">
      <c r="A29" s="5">
        <f t="shared" si="0"/>
        <v>19</v>
      </c>
      <c r="B29" s="6" t="s">
        <v>138</v>
      </c>
      <c r="C29" s="6" t="s">
        <v>139</v>
      </c>
      <c r="D29" s="6"/>
      <c r="E29" s="6" t="s">
        <v>117</v>
      </c>
      <c r="F29" s="6">
        <v>22</v>
      </c>
      <c r="G29" s="7">
        <f t="shared" si="1"/>
        <v>8.695652173913043</v>
      </c>
      <c r="H29" s="6">
        <v>34</v>
      </c>
      <c r="I29" s="7">
        <f t="shared" si="2"/>
        <v>16.216216216216218</v>
      </c>
      <c r="J29" s="6">
        <v>16</v>
      </c>
      <c r="K29" s="20">
        <f t="shared" si="3"/>
        <v>140</v>
      </c>
      <c r="L29" s="6">
        <v>165</v>
      </c>
      <c r="M29" s="20">
        <f t="shared" si="4"/>
        <v>97.560975609756099</v>
      </c>
      <c r="N29" s="6">
        <v>18</v>
      </c>
      <c r="O29" s="20">
        <f t="shared" si="5"/>
        <v>131.25</v>
      </c>
      <c r="P29" s="6">
        <v>174</v>
      </c>
      <c r="Q29" s="20">
        <f t="shared" si="6"/>
        <v>56.122448979591837</v>
      </c>
      <c r="R29" s="6"/>
      <c r="S29" s="7">
        <f t="shared" si="7"/>
        <v>0</v>
      </c>
      <c r="T29" s="8">
        <f t="shared" si="11"/>
        <v>424.93342458934796</v>
      </c>
      <c r="U29" s="6">
        <f t="shared" si="8"/>
        <v>19</v>
      </c>
      <c r="V29" s="6">
        <f t="shared" si="9"/>
        <v>6</v>
      </c>
      <c r="W29" s="17">
        <f t="shared" si="10"/>
        <v>0.8571428571428571</v>
      </c>
    </row>
    <row r="30" spans="1:23" x14ac:dyDescent="0.3">
      <c r="A30" s="5">
        <f t="shared" si="0"/>
        <v>20</v>
      </c>
      <c r="B30" s="6" t="s">
        <v>124</v>
      </c>
      <c r="C30" s="6" t="s">
        <v>125</v>
      </c>
      <c r="D30" s="6"/>
      <c r="E30" s="6" t="s">
        <v>100</v>
      </c>
      <c r="F30" s="6">
        <v>15</v>
      </c>
      <c r="G30" s="7">
        <f t="shared" si="1"/>
        <v>69.565217391304344</v>
      </c>
      <c r="H30" s="6">
        <v>21</v>
      </c>
      <c r="I30" s="20">
        <f t="shared" si="2"/>
        <v>86.486486486486484</v>
      </c>
      <c r="J30" s="6"/>
      <c r="K30" s="7">
        <f t="shared" si="3"/>
        <v>0</v>
      </c>
      <c r="L30" s="6">
        <v>170</v>
      </c>
      <c r="M30" s="20">
        <f t="shared" si="4"/>
        <v>85.365853658536579</v>
      </c>
      <c r="N30" s="6">
        <v>23</v>
      </c>
      <c r="O30" s="20">
        <f t="shared" si="5"/>
        <v>84.375</v>
      </c>
      <c r="P30" s="6">
        <v>172</v>
      </c>
      <c r="Q30" s="20">
        <f t="shared" si="6"/>
        <v>61.224489795918366</v>
      </c>
      <c r="R30" s="6"/>
      <c r="S30" s="7">
        <f t="shared" si="7"/>
        <v>0</v>
      </c>
      <c r="T30" s="8">
        <f>Q30+I30+M30+O30</f>
        <v>317.45182994094142</v>
      </c>
      <c r="U30" s="6">
        <f t="shared" si="8"/>
        <v>20</v>
      </c>
      <c r="V30" s="6">
        <f t="shared" si="9"/>
        <v>5</v>
      </c>
      <c r="W30" s="17">
        <f t="shared" si="10"/>
        <v>0.7142857142857143</v>
      </c>
    </row>
    <row r="31" spans="1:23" x14ac:dyDescent="0.3">
      <c r="A31" s="5">
        <f t="shared" si="0"/>
        <v>21</v>
      </c>
      <c r="B31" s="6" t="s">
        <v>448</v>
      </c>
      <c r="C31" s="6" t="s">
        <v>300</v>
      </c>
      <c r="D31" s="6"/>
      <c r="E31" s="6" t="s">
        <v>111</v>
      </c>
      <c r="F31" s="6"/>
      <c r="G31" s="7">
        <f t="shared" si="1"/>
        <v>0</v>
      </c>
      <c r="H31" s="6"/>
      <c r="I31" s="7">
        <f t="shared" si="2"/>
        <v>0</v>
      </c>
      <c r="J31" s="6">
        <v>20</v>
      </c>
      <c r="K31" s="20">
        <f t="shared" si="3"/>
        <v>100</v>
      </c>
      <c r="L31" s="6">
        <v>137</v>
      </c>
      <c r="M31" s="20">
        <f t="shared" si="4"/>
        <v>165.85365853658536</v>
      </c>
      <c r="N31" s="6">
        <v>31</v>
      </c>
      <c r="O31" s="20">
        <f t="shared" si="5"/>
        <v>9.375</v>
      </c>
      <c r="P31" s="6">
        <v>183</v>
      </c>
      <c r="Q31" s="20">
        <f t="shared" si="6"/>
        <v>33.163265306122447</v>
      </c>
      <c r="R31" s="6"/>
      <c r="S31" s="7">
        <f t="shared" si="7"/>
        <v>0</v>
      </c>
      <c r="T31" s="8">
        <f>Q31+K31+M31+O31</f>
        <v>308.3919238427078</v>
      </c>
      <c r="U31" s="6">
        <f t="shared" si="8"/>
        <v>21</v>
      </c>
      <c r="V31" s="6">
        <f t="shared" si="9"/>
        <v>4</v>
      </c>
      <c r="W31" s="17">
        <f t="shared" si="10"/>
        <v>0.5714285714285714</v>
      </c>
    </row>
    <row r="32" spans="1:23" x14ac:dyDescent="0.3">
      <c r="A32" s="5">
        <f t="shared" si="0"/>
        <v>22</v>
      </c>
      <c r="B32" s="6" t="s">
        <v>122</v>
      </c>
      <c r="C32" s="6" t="s">
        <v>123</v>
      </c>
      <c r="D32" s="13"/>
      <c r="E32" s="6" t="s">
        <v>108</v>
      </c>
      <c r="F32" s="6">
        <v>14</v>
      </c>
      <c r="G32" s="7">
        <f t="shared" si="1"/>
        <v>78.260869565217391</v>
      </c>
      <c r="H32" s="6"/>
      <c r="I32" s="7">
        <f t="shared" si="2"/>
        <v>0</v>
      </c>
      <c r="J32" s="6">
        <v>19</v>
      </c>
      <c r="K32" s="7">
        <f t="shared" si="3"/>
        <v>110</v>
      </c>
      <c r="L32" s="6">
        <v>189</v>
      </c>
      <c r="M32" s="7">
        <f t="shared" si="4"/>
        <v>39.024390243902438</v>
      </c>
      <c r="N32" s="6"/>
      <c r="O32" s="7">
        <f t="shared" si="5"/>
        <v>0</v>
      </c>
      <c r="P32" s="6"/>
      <c r="Q32" s="7">
        <f t="shared" si="6"/>
        <v>0</v>
      </c>
      <c r="R32" s="6"/>
      <c r="S32" s="7">
        <f t="shared" si="7"/>
        <v>0</v>
      </c>
      <c r="T32" s="8">
        <f t="shared" ref="T32:T51" si="12">Q32+O32+M32+S32+G32+I32+K32</f>
        <v>227.28525980911982</v>
      </c>
      <c r="U32" s="6">
        <f t="shared" si="8"/>
        <v>22</v>
      </c>
      <c r="V32" s="6">
        <f t="shared" si="9"/>
        <v>3</v>
      </c>
      <c r="W32" s="17">
        <f t="shared" si="10"/>
        <v>0.42857142857142855</v>
      </c>
    </row>
    <row r="33" spans="1:23" x14ac:dyDescent="0.3">
      <c r="A33" s="5">
        <f t="shared" si="0"/>
        <v>23</v>
      </c>
      <c r="B33" s="6" t="s">
        <v>291</v>
      </c>
      <c r="C33" s="6" t="s">
        <v>292</v>
      </c>
      <c r="D33" s="6"/>
      <c r="E33" s="6" t="s">
        <v>116</v>
      </c>
      <c r="F33" s="6"/>
      <c r="G33" s="7">
        <f t="shared" si="1"/>
        <v>0</v>
      </c>
      <c r="H33" s="6"/>
      <c r="I33" s="7">
        <f t="shared" si="2"/>
        <v>0</v>
      </c>
      <c r="J33" s="6"/>
      <c r="K33" s="7">
        <f t="shared" si="3"/>
        <v>0</v>
      </c>
      <c r="L33" s="6"/>
      <c r="M33" s="7">
        <f t="shared" si="4"/>
        <v>0</v>
      </c>
      <c r="N33" s="6">
        <v>15</v>
      </c>
      <c r="O33" s="7">
        <f t="shared" si="5"/>
        <v>159.375</v>
      </c>
      <c r="P33" s="6"/>
      <c r="Q33" s="7">
        <f t="shared" si="6"/>
        <v>0</v>
      </c>
      <c r="R33" s="6"/>
      <c r="S33" s="7">
        <f t="shared" si="7"/>
        <v>0</v>
      </c>
      <c r="T33" s="8">
        <f t="shared" si="12"/>
        <v>159.375</v>
      </c>
      <c r="U33" s="6">
        <f t="shared" si="8"/>
        <v>23</v>
      </c>
      <c r="V33" s="6">
        <f t="shared" si="9"/>
        <v>1</v>
      </c>
      <c r="W33" s="17">
        <f t="shared" si="10"/>
        <v>0.14285714285714285</v>
      </c>
    </row>
    <row r="34" spans="1:23" x14ac:dyDescent="0.3">
      <c r="A34" s="5">
        <f t="shared" si="0"/>
        <v>24</v>
      </c>
      <c r="B34" s="6" t="s">
        <v>397</v>
      </c>
      <c r="C34" s="6" t="s">
        <v>369</v>
      </c>
      <c r="D34" s="6"/>
      <c r="E34" s="6" t="s">
        <v>90</v>
      </c>
      <c r="F34" s="6"/>
      <c r="G34" s="7">
        <f t="shared" si="1"/>
        <v>0</v>
      </c>
      <c r="H34" s="6">
        <v>33</v>
      </c>
      <c r="I34" s="7">
        <f t="shared" si="2"/>
        <v>21.621621621621621</v>
      </c>
      <c r="J34" s="6"/>
      <c r="K34" s="7">
        <f t="shared" si="3"/>
        <v>0</v>
      </c>
      <c r="L34" s="6"/>
      <c r="M34" s="7">
        <f t="shared" si="4"/>
        <v>0</v>
      </c>
      <c r="N34" s="6">
        <v>20</v>
      </c>
      <c r="O34" s="7">
        <f t="shared" si="5"/>
        <v>112.5</v>
      </c>
      <c r="P34" s="6"/>
      <c r="Q34" s="7">
        <f t="shared" si="6"/>
        <v>0</v>
      </c>
      <c r="R34" s="6"/>
      <c r="S34" s="7">
        <f t="shared" si="7"/>
        <v>0</v>
      </c>
      <c r="T34" s="8">
        <f t="shared" si="12"/>
        <v>134.12162162162161</v>
      </c>
      <c r="U34" s="6">
        <f t="shared" si="8"/>
        <v>24</v>
      </c>
      <c r="V34" s="6">
        <f t="shared" si="9"/>
        <v>2</v>
      </c>
      <c r="W34" s="17">
        <f t="shared" si="10"/>
        <v>0.2857142857142857</v>
      </c>
    </row>
    <row r="35" spans="1:23" x14ac:dyDescent="0.3">
      <c r="A35" s="5">
        <f t="shared" si="0"/>
        <v>25</v>
      </c>
      <c r="B35" s="6" t="s">
        <v>289</v>
      </c>
      <c r="C35" s="6" t="s">
        <v>290</v>
      </c>
      <c r="D35" s="6"/>
      <c r="E35" s="6" t="s">
        <v>90</v>
      </c>
      <c r="F35" s="6"/>
      <c r="G35" s="7">
        <f t="shared" si="1"/>
        <v>0</v>
      </c>
      <c r="H35" s="6"/>
      <c r="I35" s="7">
        <f t="shared" si="2"/>
        <v>0</v>
      </c>
      <c r="J35" s="6"/>
      <c r="K35" s="7">
        <f t="shared" si="3"/>
        <v>0</v>
      </c>
      <c r="L35" s="6"/>
      <c r="M35" s="7">
        <f t="shared" si="4"/>
        <v>0</v>
      </c>
      <c r="N35" s="6">
        <v>19</v>
      </c>
      <c r="O35" s="7">
        <f t="shared" si="5"/>
        <v>121.875</v>
      </c>
      <c r="P35" s="6"/>
      <c r="Q35" s="7">
        <f t="shared" si="6"/>
        <v>0</v>
      </c>
      <c r="R35" s="6"/>
      <c r="S35" s="7">
        <f t="shared" si="7"/>
        <v>0</v>
      </c>
      <c r="T35" s="8">
        <f t="shared" si="12"/>
        <v>121.875</v>
      </c>
      <c r="U35" s="6">
        <f t="shared" si="8"/>
        <v>25</v>
      </c>
      <c r="V35" s="6">
        <f t="shared" si="9"/>
        <v>1</v>
      </c>
      <c r="W35" s="17">
        <f t="shared" si="10"/>
        <v>0.14285714285714285</v>
      </c>
    </row>
    <row r="36" spans="1:23" x14ac:dyDescent="0.3">
      <c r="A36" s="5">
        <f t="shared" si="0"/>
        <v>26</v>
      </c>
      <c r="B36" s="6" t="s">
        <v>132</v>
      </c>
      <c r="C36" s="6" t="s">
        <v>133</v>
      </c>
      <c r="D36" s="13"/>
      <c r="E36" s="6" t="s">
        <v>100</v>
      </c>
      <c r="F36" s="6">
        <v>19</v>
      </c>
      <c r="G36" s="7">
        <f t="shared" si="1"/>
        <v>34.782608695652172</v>
      </c>
      <c r="H36" s="6"/>
      <c r="I36" s="7">
        <f t="shared" si="2"/>
        <v>0</v>
      </c>
      <c r="J36" s="6">
        <v>28</v>
      </c>
      <c r="K36" s="7">
        <f t="shared" si="3"/>
        <v>20</v>
      </c>
      <c r="L36" s="6"/>
      <c r="M36" s="7">
        <f t="shared" si="4"/>
        <v>0</v>
      </c>
      <c r="N36" s="6">
        <v>26</v>
      </c>
      <c r="O36" s="7">
        <f t="shared" si="5"/>
        <v>56.25</v>
      </c>
      <c r="P36" s="18"/>
      <c r="Q36" s="7">
        <f t="shared" si="6"/>
        <v>0</v>
      </c>
      <c r="R36" s="18"/>
      <c r="S36" s="7">
        <f t="shared" si="7"/>
        <v>0</v>
      </c>
      <c r="T36" s="8">
        <f t="shared" si="12"/>
        <v>111.03260869565217</v>
      </c>
      <c r="U36" s="6">
        <f t="shared" si="8"/>
        <v>26</v>
      </c>
      <c r="V36" s="6">
        <f t="shared" si="9"/>
        <v>3</v>
      </c>
      <c r="W36" s="17">
        <f t="shared" si="10"/>
        <v>0.42857142857142855</v>
      </c>
    </row>
    <row r="37" spans="1:23" x14ac:dyDescent="0.3">
      <c r="A37" s="5">
        <f t="shared" si="0"/>
        <v>27</v>
      </c>
      <c r="B37" s="6" t="s">
        <v>128</v>
      </c>
      <c r="C37" s="6" t="s">
        <v>129</v>
      </c>
      <c r="D37" s="6"/>
      <c r="E37" s="6" t="s">
        <v>116</v>
      </c>
      <c r="F37" s="6">
        <v>17</v>
      </c>
      <c r="G37" s="7">
        <f t="shared" si="1"/>
        <v>52.173913043478258</v>
      </c>
      <c r="H37" s="6"/>
      <c r="I37" s="7">
        <f t="shared" si="2"/>
        <v>0</v>
      </c>
      <c r="J37" s="6"/>
      <c r="K37" s="7">
        <f t="shared" si="3"/>
        <v>0</v>
      </c>
      <c r="L37" s="6"/>
      <c r="M37" s="7">
        <f t="shared" si="4"/>
        <v>0</v>
      </c>
      <c r="N37" s="6">
        <v>27</v>
      </c>
      <c r="O37" s="7">
        <f t="shared" si="5"/>
        <v>46.875</v>
      </c>
      <c r="P37" s="6"/>
      <c r="Q37" s="7">
        <f t="shared" si="6"/>
        <v>0</v>
      </c>
      <c r="R37" s="6"/>
      <c r="S37" s="7">
        <f t="shared" si="7"/>
        <v>0</v>
      </c>
      <c r="T37" s="8">
        <f t="shared" si="12"/>
        <v>99.048913043478251</v>
      </c>
      <c r="U37" s="6">
        <f t="shared" si="8"/>
        <v>27</v>
      </c>
      <c r="V37" s="6">
        <f t="shared" si="9"/>
        <v>2</v>
      </c>
      <c r="W37" s="17">
        <f t="shared" si="10"/>
        <v>0.2857142857142857</v>
      </c>
    </row>
    <row r="38" spans="1:23" x14ac:dyDescent="0.3">
      <c r="A38" s="5">
        <f t="shared" si="0"/>
        <v>28</v>
      </c>
      <c r="B38" s="6" t="s">
        <v>515</v>
      </c>
      <c r="C38" s="6" t="s">
        <v>516</v>
      </c>
      <c r="D38" s="6"/>
      <c r="E38" s="6" t="s">
        <v>100</v>
      </c>
      <c r="F38" s="6"/>
      <c r="G38" s="7">
        <f t="shared" si="1"/>
        <v>0</v>
      </c>
      <c r="H38" s="6"/>
      <c r="I38" s="7">
        <f t="shared" si="2"/>
        <v>0</v>
      </c>
      <c r="J38" s="6"/>
      <c r="K38" s="7">
        <f t="shared" si="3"/>
        <v>0</v>
      </c>
      <c r="L38" s="6"/>
      <c r="M38" s="7">
        <f t="shared" si="4"/>
        <v>0</v>
      </c>
      <c r="N38" s="6">
        <v>22</v>
      </c>
      <c r="O38" s="7">
        <f t="shared" si="5"/>
        <v>93.75</v>
      </c>
      <c r="P38" s="6"/>
      <c r="Q38" s="7">
        <f t="shared" si="6"/>
        <v>0</v>
      </c>
      <c r="R38" s="6"/>
      <c r="S38" s="7">
        <f t="shared" si="7"/>
        <v>0</v>
      </c>
      <c r="T38" s="8">
        <f t="shared" si="12"/>
        <v>93.75</v>
      </c>
      <c r="U38" s="6">
        <f t="shared" si="8"/>
        <v>28</v>
      </c>
      <c r="V38" s="6">
        <f t="shared" si="9"/>
        <v>1</v>
      </c>
      <c r="W38" s="17">
        <f t="shared" si="10"/>
        <v>0.14285714285714285</v>
      </c>
    </row>
    <row r="39" spans="1:23" x14ac:dyDescent="0.3">
      <c r="A39" s="5">
        <f t="shared" si="0"/>
        <v>29</v>
      </c>
      <c r="B39" s="6" t="s">
        <v>449</v>
      </c>
      <c r="C39" s="6" t="s">
        <v>412</v>
      </c>
      <c r="D39" s="6"/>
      <c r="E39" s="6" t="s">
        <v>103</v>
      </c>
      <c r="F39" s="6"/>
      <c r="G39" s="7">
        <f t="shared" si="1"/>
        <v>0</v>
      </c>
      <c r="H39" s="6"/>
      <c r="I39" s="7">
        <f t="shared" si="2"/>
        <v>0</v>
      </c>
      <c r="J39" s="6">
        <v>22</v>
      </c>
      <c r="K39" s="7">
        <f t="shared" si="3"/>
        <v>80</v>
      </c>
      <c r="L39" s="6"/>
      <c r="M39" s="7">
        <f t="shared" si="4"/>
        <v>0</v>
      </c>
      <c r="N39" s="6"/>
      <c r="O39" s="7">
        <f t="shared" si="5"/>
        <v>0</v>
      </c>
      <c r="P39" s="6"/>
      <c r="Q39" s="7">
        <f t="shared" si="6"/>
        <v>0</v>
      </c>
      <c r="R39" s="6"/>
      <c r="S39" s="7">
        <f t="shared" si="7"/>
        <v>0</v>
      </c>
      <c r="T39" s="8">
        <f t="shared" si="12"/>
        <v>80</v>
      </c>
      <c r="U39" s="6">
        <f t="shared" si="8"/>
        <v>29</v>
      </c>
      <c r="V39" s="6">
        <f t="shared" si="9"/>
        <v>1</v>
      </c>
      <c r="W39" s="17">
        <f t="shared" si="10"/>
        <v>0.14285714285714285</v>
      </c>
    </row>
    <row r="40" spans="1:23" x14ac:dyDescent="0.3">
      <c r="A40" s="5">
        <f t="shared" si="0"/>
        <v>30</v>
      </c>
      <c r="B40" s="6" t="s">
        <v>450</v>
      </c>
      <c r="C40" s="6" t="s">
        <v>255</v>
      </c>
      <c r="D40" s="6"/>
      <c r="E40" s="6" t="s">
        <v>111</v>
      </c>
      <c r="F40" s="6"/>
      <c r="G40" s="7">
        <f t="shared" si="1"/>
        <v>0</v>
      </c>
      <c r="H40" s="6"/>
      <c r="I40" s="7">
        <f t="shared" si="2"/>
        <v>0</v>
      </c>
      <c r="J40" s="6">
        <v>23</v>
      </c>
      <c r="K40" s="7">
        <f t="shared" si="3"/>
        <v>70</v>
      </c>
      <c r="L40" s="6"/>
      <c r="M40" s="7">
        <f t="shared" si="4"/>
        <v>0</v>
      </c>
      <c r="N40" s="6"/>
      <c r="O40" s="7">
        <f t="shared" si="5"/>
        <v>0</v>
      </c>
      <c r="P40" s="6"/>
      <c r="Q40" s="7">
        <f t="shared" si="6"/>
        <v>0</v>
      </c>
      <c r="R40" s="6"/>
      <c r="S40" s="7">
        <f t="shared" si="7"/>
        <v>0</v>
      </c>
      <c r="T40" s="8">
        <f t="shared" si="12"/>
        <v>70</v>
      </c>
      <c r="U40" s="6">
        <f t="shared" si="8"/>
        <v>30</v>
      </c>
      <c r="V40" s="6">
        <f t="shared" si="9"/>
        <v>1</v>
      </c>
      <c r="W40" s="17">
        <f t="shared" si="10"/>
        <v>0.14285714285714285</v>
      </c>
    </row>
    <row r="41" spans="1:23" x14ac:dyDescent="0.3">
      <c r="A41" s="5">
        <f t="shared" si="0"/>
        <v>31</v>
      </c>
      <c r="B41" s="6" t="s">
        <v>193</v>
      </c>
      <c r="C41" s="6" t="s">
        <v>255</v>
      </c>
      <c r="D41" s="6"/>
      <c r="E41" s="6" t="s">
        <v>90</v>
      </c>
      <c r="F41" s="6"/>
      <c r="G41" s="7">
        <f t="shared" si="1"/>
        <v>0</v>
      </c>
      <c r="H41" s="6"/>
      <c r="I41" s="7">
        <f t="shared" si="2"/>
        <v>0</v>
      </c>
      <c r="J41" s="6"/>
      <c r="K41" s="7">
        <f t="shared" si="3"/>
        <v>0</v>
      </c>
      <c r="L41" s="6"/>
      <c r="M41" s="7">
        <f t="shared" si="4"/>
        <v>0</v>
      </c>
      <c r="N41" s="6">
        <v>25</v>
      </c>
      <c r="O41" s="7">
        <f t="shared" si="5"/>
        <v>65.625</v>
      </c>
      <c r="P41" s="6"/>
      <c r="Q41" s="7">
        <f t="shared" si="6"/>
        <v>0</v>
      </c>
      <c r="R41" s="6"/>
      <c r="S41" s="7">
        <f t="shared" si="7"/>
        <v>0</v>
      </c>
      <c r="T41" s="8">
        <f t="shared" si="12"/>
        <v>65.625</v>
      </c>
      <c r="U41" s="6">
        <f t="shared" si="8"/>
        <v>31</v>
      </c>
      <c r="V41" s="6">
        <f t="shared" si="9"/>
        <v>1</v>
      </c>
      <c r="W41" s="17">
        <f t="shared" si="10"/>
        <v>0.14285714285714285</v>
      </c>
    </row>
    <row r="42" spans="1:23" x14ac:dyDescent="0.3">
      <c r="A42" s="5">
        <f t="shared" si="0"/>
        <v>32</v>
      </c>
      <c r="B42" s="6" t="s">
        <v>370</v>
      </c>
      <c r="C42" s="6" t="s">
        <v>371</v>
      </c>
      <c r="D42" s="6"/>
      <c r="E42" s="6" t="s">
        <v>117</v>
      </c>
      <c r="F42" s="6"/>
      <c r="G42" s="7">
        <f t="shared" si="1"/>
        <v>0</v>
      </c>
      <c r="H42" s="6"/>
      <c r="I42" s="7">
        <f t="shared" si="2"/>
        <v>0</v>
      </c>
      <c r="J42" s="6">
        <v>24</v>
      </c>
      <c r="K42" s="7">
        <f t="shared" si="3"/>
        <v>60</v>
      </c>
      <c r="L42" s="6"/>
      <c r="M42" s="7">
        <f t="shared" si="4"/>
        <v>0</v>
      </c>
      <c r="N42" s="6">
        <v>32</v>
      </c>
      <c r="O42" s="7">
        <f>9/2</f>
        <v>4.5</v>
      </c>
      <c r="P42" s="6"/>
      <c r="Q42" s="7">
        <f t="shared" si="6"/>
        <v>0</v>
      </c>
      <c r="R42" s="6"/>
      <c r="S42" s="7">
        <f t="shared" si="7"/>
        <v>0</v>
      </c>
      <c r="T42" s="8">
        <f t="shared" si="12"/>
        <v>64.5</v>
      </c>
      <c r="U42" s="6">
        <f t="shared" si="8"/>
        <v>32</v>
      </c>
      <c r="V42" s="6">
        <f t="shared" si="9"/>
        <v>2</v>
      </c>
      <c r="W42" s="17">
        <f t="shared" si="10"/>
        <v>0.2857142857142857</v>
      </c>
    </row>
    <row r="43" spans="1:23" x14ac:dyDescent="0.3">
      <c r="A43" s="5">
        <f t="shared" si="0"/>
        <v>33</v>
      </c>
      <c r="B43" s="6" t="s">
        <v>451</v>
      </c>
      <c r="C43" s="6" t="s">
        <v>452</v>
      </c>
      <c r="D43" s="6"/>
      <c r="E43" s="6" t="s">
        <v>111</v>
      </c>
      <c r="F43" s="6"/>
      <c r="G43" s="7">
        <f t="shared" si="1"/>
        <v>0</v>
      </c>
      <c r="H43" s="6"/>
      <c r="I43" s="7">
        <f t="shared" si="2"/>
        <v>0</v>
      </c>
      <c r="J43" s="6">
        <v>25</v>
      </c>
      <c r="K43" s="7">
        <f t="shared" si="3"/>
        <v>50</v>
      </c>
      <c r="L43" s="6"/>
      <c r="M43" s="7">
        <f t="shared" si="4"/>
        <v>0</v>
      </c>
      <c r="N43" s="6"/>
      <c r="O43" s="7">
        <f t="shared" ref="O43:O51" si="13">IF(N43=0,,($N$9-N43)*$N$7*100/$N$9)</f>
        <v>0</v>
      </c>
      <c r="P43" s="6"/>
      <c r="Q43" s="7">
        <f t="shared" si="6"/>
        <v>0</v>
      </c>
      <c r="R43" s="6"/>
      <c r="S43" s="7">
        <f t="shared" si="7"/>
        <v>0</v>
      </c>
      <c r="T43" s="8">
        <f t="shared" si="12"/>
        <v>50</v>
      </c>
      <c r="U43" s="6">
        <f t="shared" si="8"/>
        <v>33</v>
      </c>
      <c r="V43" s="6">
        <f t="shared" si="9"/>
        <v>1</v>
      </c>
      <c r="W43" s="17">
        <f t="shared" si="10"/>
        <v>0.14285714285714285</v>
      </c>
    </row>
    <row r="44" spans="1:23" x14ac:dyDescent="0.3">
      <c r="A44" s="5">
        <f t="shared" si="0"/>
        <v>34</v>
      </c>
      <c r="B44" s="6" t="s">
        <v>458</v>
      </c>
      <c r="C44" s="6" t="s">
        <v>260</v>
      </c>
      <c r="D44" s="6"/>
      <c r="E44" s="6" t="s">
        <v>116</v>
      </c>
      <c r="F44" s="6"/>
      <c r="G44" s="7">
        <f t="shared" si="1"/>
        <v>0</v>
      </c>
      <c r="H44" s="6"/>
      <c r="I44" s="7">
        <f t="shared" si="2"/>
        <v>0</v>
      </c>
      <c r="J44" s="6">
        <v>28</v>
      </c>
      <c r="K44" s="7">
        <f t="shared" si="3"/>
        <v>20</v>
      </c>
      <c r="L44" s="6"/>
      <c r="M44" s="7">
        <f t="shared" si="4"/>
        <v>0</v>
      </c>
      <c r="N44" s="6">
        <v>29</v>
      </c>
      <c r="O44" s="7">
        <f t="shared" si="13"/>
        <v>28.125</v>
      </c>
      <c r="P44" s="6"/>
      <c r="Q44" s="7">
        <f t="shared" si="6"/>
        <v>0</v>
      </c>
      <c r="R44" s="6"/>
      <c r="S44" s="7">
        <f t="shared" si="7"/>
        <v>0</v>
      </c>
      <c r="T44" s="8">
        <f t="shared" si="12"/>
        <v>48.125</v>
      </c>
      <c r="U44" s="6">
        <f t="shared" si="8"/>
        <v>34</v>
      </c>
      <c r="V44" s="6">
        <f t="shared" si="9"/>
        <v>2</v>
      </c>
      <c r="W44" s="17">
        <f t="shared" si="10"/>
        <v>0.2857142857142857</v>
      </c>
    </row>
    <row r="45" spans="1:23" x14ac:dyDescent="0.3">
      <c r="A45" s="5">
        <f t="shared" si="0"/>
        <v>35</v>
      </c>
      <c r="B45" s="6" t="s">
        <v>140</v>
      </c>
      <c r="C45" s="6" t="s">
        <v>141</v>
      </c>
      <c r="D45" s="13"/>
      <c r="E45" s="6" t="s">
        <v>108</v>
      </c>
      <c r="F45" s="6">
        <v>23</v>
      </c>
      <c r="G45" s="7">
        <f>9/2</f>
        <v>4.5</v>
      </c>
      <c r="H45" s="6"/>
      <c r="I45" s="7">
        <f t="shared" si="2"/>
        <v>0</v>
      </c>
      <c r="J45" s="6"/>
      <c r="K45" s="7">
        <f t="shared" si="3"/>
        <v>0</v>
      </c>
      <c r="L45" s="6"/>
      <c r="M45" s="7">
        <f t="shared" si="4"/>
        <v>0</v>
      </c>
      <c r="N45" s="6">
        <v>28</v>
      </c>
      <c r="O45" s="7">
        <f t="shared" si="13"/>
        <v>37.5</v>
      </c>
      <c r="P45" s="6"/>
      <c r="Q45" s="7">
        <f t="shared" si="6"/>
        <v>0</v>
      </c>
      <c r="R45" s="6"/>
      <c r="S45" s="7">
        <f t="shared" si="7"/>
        <v>0</v>
      </c>
      <c r="T45" s="8">
        <f t="shared" si="12"/>
        <v>42</v>
      </c>
      <c r="U45" s="6">
        <f t="shared" si="8"/>
        <v>35</v>
      </c>
      <c r="V45" s="6">
        <f t="shared" si="9"/>
        <v>2</v>
      </c>
      <c r="W45" s="17">
        <f t="shared" si="10"/>
        <v>0.2857142857142857</v>
      </c>
    </row>
    <row r="46" spans="1:23" x14ac:dyDescent="0.3">
      <c r="A46" s="5">
        <f t="shared" si="0"/>
        <v>36</v>
      </c>
      <c r="B46" s="6" t="s">
        <v>453</v>
      </c>
      <c r="C46" s="6" t="s">
        <v>454</v>
      </c>
      <c r="D46" s="6"/>
      <c r="E46" s="6" t="s">
        <v>111</v>
      </c>
      <c r="F46" s="6"/>
      <c r="G46" s="7">
        <f t="shared" ref="G46:G51" si="14">IF(F46=0,,($F$9-F46)*$F$7*100/$F$9)</f>
        <v>0</v>
      </c>
      <c r="H46" s="6"/>
      <c r="I46" s="7">
        <f t="shared" si="2"/>
        <v>0</v>
      </c>
      <c r="J46" s="6">
        <v>26</v>
      </c>
      <c r="K46" s="7">
        <f t="shared" si="3"/>
        <v>40</v>
      </c>
      <c r="L46" s="6"/>
      <c r="M46" s="7">
        <f t="shared" si="4"/>
        <v>0</v>
      </c>
      <c r="N46" s="6"/>
      <c r="O46" s="7">
        <f t="shared" si="13"/>
        <v>0</v>
      </c>
      <c r="P46" s="6"/>
      <c r="Q46" s="7">
        <f t="shared" si="6"/>
        <v>0</v>
      </c>
      <c r="R46" s="6"/>
      <c r="S46" s="7">
        <f t="shared" si="7"/>
        <v>0</v>
      </c>
      <c r="T46" s="8">
        <f t="shared" si="12"/>
        <v>40</v>
      </c>
      <c r="U46" s="6">
        <f t="shared" si="8"/>
        <v>36</v>
      </c>
      <c r="V46" s="6">
        <f t="shared" si="9"/>
        <v>1</v>
      </c>
      <c r="W46" s="17">
        <f t="shared" si="10"/>
        <v>0.14285714285714285</v>
      </c>
    </row>
    <row r="47" spans="1:23" x14ac:dyDescent="0.3">
      <c r="A47" s="5">
        <f t="shared" si="0"/>
        <v>37</v>
      </c>
      <c r="B47" s="6" t="s">
        <v>455</v>
      </c>
      <c r="C47" s="6" t="s">
        <v>456</v>
      </c>
      <c r="D47" s="6"/>
      <c r="E47" s="6" t="s">
        <v>117</v>
      </c>
      <c r="F47" s="6"/>
      <c r="G47" s="7">
        <f t="shared" si="14"/>
        <v>0</v>
      </c>
      <c r="H47" s="6"/>
      <c r="I47" s="7">
        <f t="shared" si="2"/>
        <v>0</v>
      </c>
      <c r="J47" s="6">
        <v>27</v>
      </c>
      <c r="K47" s="7">
        <f t="shared" si="3"/>
        <v>30</v>
      </c>
      <c r="L47" s="6"/>
      <c r="M47" s="7">
        <f t="shared" si="4"/>
        <v>0</v>
      </c>
      <c r="N47" s="6"/>
      <c r="O47" s="7">
        <f t="shared" si="13"/>
        <v>0</v>
      </c>
      <c r="P47" s="6"/>
      <c r="Q47" s="7">
        <f t="shared" si="6"/>
        <v>0</v>
      </c>
      <c r="R47" s="6"/>
      <c r="S47" s="7">
        <f t="shared" si="7"/>
        <v>0</v>
      </c>
      <c r="T47" s="8">
        <f t="shared" si="12"/>
        <v>30</v>
      </c>
      <c r="U47" s="6">
        <f t="shared" si="8"/>
        <v>37</v>
      </c>
      <c r="V47" s="6">
        <f t="shared" si="9"/>
        <v>1</v>
      </c>
      <c r="W47" s="17">
        <f t="shared" si="10"/>
        <v>0.14285714285714285</v>
      </c>
    </row>
    <row r="48" spans="1:23" x14ac:dyDescent="0.3">
      <c r="A48" s="5">
        <f t="shared" si="0"/>
        <v>38</v>
      </c>
      <c r="B48" s="6" t="s">
        <v>303</v>
      </c>
      <c r="C48" s="6" t="s">
        <v>97</v>
      </c>
      <c r="D48" s="6"/>
      <c r="E48" s="6" t="s">
        <v>142</v>
      </c>
      <c r="F48" s="6"/>
      <c r="G48" s="7">
        <f t="shared" si="14"/>
        <v>0</v>
      </c>
      <c r="H48" s="6"/>
      <c r="I48" s="7">
        <f t="shared" si="2"/>
        <v>0</v>
      </c>
      <c r="J48" s="6"/>
      <c r="K48" s="7">
        <f t="shared" si="3"/>
        <v>0</v>
      </c>
      <c r="L48" s="6"/>
      <c r="M48" s="7">
        <f t="shared" si="4"/>
        <v>0</v>
      </c>
      <c r="N48" s="6">
        <v>29</v>
      </c>
      <c r="O48" s="7">
        <f t="shared" si="13"/>
        <v>28.125</v>
      </c>
      <c r="P48" s="6"/>
      <c r="Q48" s="7">
        <f t="shared" si="6"/>
        <v>0</v>
      </c>
      <c r="R48" s="6"/>
      <c r="S48" s="7">
        <f t="shared" si="7"/>
        <v>0</v>
      </c>
      <c r="T48" s="8">
        <f t="shared" si="12"/>
        <v>28.125</v>
      </c>
      <c r="U48" s="6">
        <f t="shared" si="8"/>
        <v>38</v>
      </c>
      <c r="V48" s="6">
        <f t="shared" si="9"/>
        <v>1</v>
      </c>
      <c r="W48" s="17">
        <f t="shared" si="10"/>
        <v>0.14285714285714285</v>
      </c>
    </row>
    <row r="49" spans="1:23" x14ac:dyDescent="0.3">
      <c r="A49" s="5">
        <f t="shared" si="0"/>
        <v>39</v>
      </c>
      <c r="B49" s="6" t="s">
        <v>457</v>
      </c>
      <c r="C49" s="6" t="s">
        <v>260</v>
      </c>
      <c r="D49" s="6"/>
      <c r="E49" s="6" t="s">
        <v>108</v>
      </c>
      <c r="F49" s="6"/>
      <c r="G49" s="7">
        <f t="shared" si="14"/>
        <v>0</v>
      </c>
      <c r="H49" s="6"/>
      <c r="I49" s="7">
        <f t="shared" si="2"/>
        <v>0</v>
      </c>
      <c r="J49" s="6">
        <v>28</v>
      </c>
      <c r="K49" s="7">
        <f t="shared" si="3"/>
        <v>20</v>
      </c>
      <c r="L49" s="6"/>
      <c r="M49" s="7">
        <f t="shared" si="4"/>
        <v>0</v>
      </c>
      <c r="N49" s="6"/>
      <c r="O49" s="7">
        <f t="shared" si="13"/>
        <v>0</v>
      </c>
      <c r="P49" s="6"/>
      <c r="Q49" s="7">
        <f t="shared" si="6"/>
        <v>0</v>
      </c>
      <c r="R49" s="6"/>
      <c r="S49" s="7">
        <f t="shared" si="7"/>
        <v>0</v>
      </c>
      <c r="T49" s="8">
        <f t="shared" si="12"/>
        <v>20</v>
      </c>
      <c r="U49" s="6">
        <f t="shared" si="8"/>
        <v>39</v>
      </c>
      <c r="V49" s="6">
        <f t="shared" si="9"/>
        <v>1</v>
      </c>
      <c r="W49" s="17">
        <f t="shared" si="10"/>
        <v>0.14285714285714285</v>
      </c>
    </row>
    <row r="50" spans="1:23" x14ac:dyDescent="0.3">
      <c r="A50" s="5">
        <f t="shared" si="0"/>
        <v>40</v>
      </c>
      <c r="B50" s="6" t="s">
        <v>136</v>
      </c>
      <c r="C50" s="6" t="s">
        <v>137</v>
      </c>
      <c r="D50" s="6"/>
      <c r="E50" s="6" t="s">
        <v>117</v>
      </c>
      <c r="F50" s="6">
        <v>21</v>
      </c>
      <c r="G50" s="7">
        <f t="shared" si="14"/>
        <v>17.391304347826086</v>
      </c>
      <c r="H50" s="6"/>
      <c r="I50" s="7">
        <f t="shared" si="2"/>
        <v>0</v>
      </c>
      <c r="J50" s="6"/>
      <c r="K50" s="7">
        <f t="shared" si="3"/>
        <v>0</v>
      </c>
      <c r="L50" s="6"/>
      <c r="M50" s="7">
        <f t="shared" si="4"/>
        <v>0</v>
      </c>
      <c r="N50" s="6"/>
      <c r="O50" s="7">
        <f t="shared" si="13"/>
        <v>0</v>
      </c>
      <c r="P50" s="6"/>
      <c r="Q50" s="7">
        <f t="shared" si="6"/>
        <v>0</v>
      </c>
      <c r="R50" s="6"/>
      <c r="S50" s="7">
        <f t="shared" si="7"/>
        <v>0</v>
      </c>
      <c r="T50" s="8">
        <f t="shared" si="12"/>
        <v>17.391304347826086</v>
      </c>
      <c r="U50" s="6">
        <f t="shared" si="8"/>
        <v>40</v>
      </c>
      <c r="V50" s="6">
        <f t="shared" si="9"/>
        <v>1</v>
      </c>
      <c r="W50" s="17">
        <f t="shared" si="10"/>
        <v>0.14285714285714285</v>
      </c>
    </row>
    <row r="51" spans="1:23" x14ac:dyDescent="0.3">
      <c r="A51" s="5">
        <f t="shared" si="0"/>
        <v>41</v>
      </c>
      <c r="B51" s="6" t="s">
        <v>398</v>
      </c>
      <c r="C51" s="6" t="s">
        <v>188</v>
      </c>
      <c r="D51" s="6"/>
      <c r="E51" s="6" t="s">
        <v>103</v>
      </c>
      <c r="F51" s="6"/>
      <c r="G51" s="7">
        <f t="shared" si="14"/>
        <v>0</v>
      </c>
      <c r="H51" s="6">
        <v>37</v>
      </c>
      <c r="I51" s="7">
        <f>5/2</f>
        <v>2.5</v>
      </c>
      <c r="J51" s="6"/>
      <c r="K51" s="7">
        <f t="shared" si="3"/>
        <v>0</v>
      </c>
      <c r="L51" s="6"/>
      <c r="M51" s="7">
        <f t="shared" si="4"/>
        <v>0</v>
      </c>
      <c r="N51" s="6"/>
      <c r="O51" s="7">
        <f t="shared" si="13"/>
        <v>0</v>
      </c>
      <c r="P51" s="6"/>
      <c r="Q51" s="7">
        <f t="shared" si="6"/>
        <v>0</v>
      </c>
      <c r="R51" s="6"/>
      <c r="S51" s="7">
        <f t="shared" si="7"/>
        <v>0</v>
      </c>
      <c r="T51" s="8">
        <f t="shared" si="12"/>
        <v>2.5</v>
      </c>
      <c r="U51" s="6">
        <f t="shared" si="8"/>
        <v>41</v>
      </c>
      <c r="V51" s="6">
        <f t="shared" si="9"/>
        <v>1</v>
      </c>
      <c r="W51" s="17">
        <f t="shared" si="10"/>
        <v>0.14285714285714285</v>
      </c>
    </row>
    <row r="52" spans="1:23" x14ac:dyDescent="0.3">
      <c r="A52" s="5">
        <f t="shared" ref="A52" si="15">U52</f>
        <v>42</v>
      </c>
      <c r="B52" s="6"/>
      <c r="C52" s="6"/>
      <c r="D52" s="6"/>
      <c r="E52" s="6"/>
      <c r="F52" s="6"/>
      <c r="G52" s="7">
        <f t="shared" ref="G52" si="16">IF(F52=0,,($F$9-F52)*$F$7*100/$F$9)</f>
        <v>0</v>
      </c>
      <c r="H52" s="6"/>
      <c r="I52" s="7">
        <f t="shared" ref="I52" si="17">IF(H52=0,,($H$9-H52)*$H$7*100/$H$9)</f>
        <v>0</v>
      </c>
      <c r="J52" s="6"/>
      <c r="K52" s="7">
        <f t="shared" ref="K52" si="18">IF(J52=0,,($J$9-J52)*$J$7*100/$J$9)</f>
        <v>0</v>
      </c>
      <c r="L52" s="6"/>
      <c r="M52" s="7">
        <f t="shared" ref="M52" si="19">IF(L52=0,,($L$9-L52)*$L$7*100/$L$9)</f>
        <v>0</v>
      </c>
      <c r="N52" s="6"/>
      <c r="O52" s="7">
        <f t="shared" ref="O52:O54" si="20">IF(N52=0,,($N$9-N52)*$N$7*100/$N$9)</f>
        <v>0</v>
      </c>
      <c r="P52" s="6"/>
      <c r="Q52" s="7">
        <f t="shared" ref="Q52" si="21">IF(P52=0,,($P$9-P52)*$P$7*100/$P$9)</f>
        <v>0</v>
      </c>
      <c r="R52" s="6"/>
      <c r="S52" s="7">
        <f t="shared" ref="S52" si="22">IF(R52=0,,($R$9-R52)*$R$7*100/$R$9)</f>
        <v>0</v>
      </c>
      <c r="T52" s="8">
        <f t="shared" ref="T52" si="23">Q52+O52+M52+S52+G52+I52+K52</f>
        <v>0</v>
      </c>
      <c r="U52" s="6">
        <f t="shared" ref="U52" si="24">ROW(B52)-10</f>
        <v>42</v>
      </c>
      <c r="V52" s="6">
        <f t="shared" ref="V52" si="25">COUNTA(F52,H52,J52,L52,N52,R52,P52)</f>
        <v>0</v>
      </c>
      <c r="W52" s="17">
        <f t="shared" ref="W52" si="26">V52/$G$3</f>
        <v>0</v>
      </c>
    </row>
    <row r="53" spans="1:23" x14ac:dyDescent="0.3">
      <c r="A53" s="5">
        <f t="shared" ref="A53:A54" si="27">U53</f>
        <v>43</v>
      </c>
      <c r="B53" s="6"/>
      <c r="C53" s="6"/>
      <c r="D53" s="6"/>
      <c r="E53" s="6"/>
      <c r="F53" s="6"/>
      <c r="G53" s="7">
        <f t="shared" ref="G53:G54" si="28">IF(F53=0,,($F$9-F53)*$F$7*100/$F$9)</f>
        <v>0</v>
      </c>
      <c r="H53" s="6"/>
      <c r="I53" s="7">
        <f t="shared" ref="I53:I54" si="29">IF(H53=0,,($H$9-H53)*$H$7*100/$H$9)</f>
        <v>0</v>
      </c>
      <c r="J53" s="6"/>
      <c r="K53" s="7">
        <f t="shared" ref="K53:K54" si="30">IF(J53=0,,($J$9-J53)*$J$7*100/$J$9)</f>
        <v>0</v>
      </c>
      <c r="L53" s="6"/>
      <c r="M53" s="7">
        <f t="shared" ref="M53:M54" si="31">IF(L53=0,,($L$9-L53)*$L$7*100/$L$9)</f>
        <v>0</v>
      </c>
      <c r="N53" s="6"/>
      <c r="O53" s="7">
        <f t="shared" si="20"/>
        <v>0</v>
      </c>
      <c r="P53" s="6"/>
      <c r="Q53" s="7">
        <f t="shared" ref="Q53:Q54" si="32">IF(P53=0,,($P$9-P53)*$P$7*100/$P$9)</f>
        <v>0</v>
      </c>
      <c r="R53" s="6"/>
      <c r="S53" s="7">
        <f t="shared" ref="S53:S54" si="33">IF(R53=0,,($R$9-R53)*$R$7*100/$R$9)</f>
        <v>0</v>
      </c>
      <c r="T53" s="8">
        <f t="shared" ref="T53:T54" si="34">Q53+O53+M53+S53+G53+I53+K53</f>
        <v>0</v>
      </c>
      <c r="U53" s="6">
        <f t="shared" ref="U53:U54" si="35">ROW(B53)-10</f>
        <v>43</v>
      </c>
      <c r="V53" s="6">
        <f t="shared" ref="V53:V54" si="36">COUNTA(F53,H53,J53,L53,N53,R53,P53)</f>
        <v>0</v>
      </c>
      <c r="W53" s="17">
        <f t="shared" ref="W53:W54" si="37">V53/$G$3</f>
        <v>0</v>
      </c>
    </row>
    <row r="54" spans="1:23" x14ac:dyDescent="0.3">
      <c r="A54" s="5">
        <f t="shared" si="27"/>
        <v>44</v>
      </c>
      <c r="B54" s="6"/>
      <c r="C54" s="6"/>
      <c r="D54" s="6"/>
      <c r="E54" s="6"/>
      <c r="F54" s="6"/>
      <c r="G54" s="7">
        <f t="shared" si="28"/>
        <v>0</v>
      </c>
      <c r="H54" s="6"/>
      <c r="I54" s="7">
        <f t="shared" si="29"/>
        <v>0</v>
      </c>
      <c r="J54" s="6"/>
      <c r="K54" s="7">
        <f t="shared" si="30"/>
        <v>0</v>
      </c>
      <c r="L54" s="6"/>
      <c r="M54" s="7">
        <f t="shared" si="31"/>
        <v>0</v>
      </c>
      <c r="N54" s="6"/>
      <c r="O54" s="7">
        <f t="shared" si="20"/>
        <v>0</v>
      </c>
      <c r="P54" s="6"/>
      <c r="Q54" s="7">
        <f t="shared" si="32"/>
        <v>0</v>
      </c>
      <c r="R54" s="6"/>
      <c r="S54" s="7">
        <f t="shared" si="33"/>
        <v>0</v>
      </c>
      <c r="T54" s="8">
        <f t="shared" si="34"/>
        <v>0</v>
      </c>
      <c r="U54" s="6">
        <f t="shared" si="35"/>
        <v>44</v>
      </c>
      <c r="V54" s="6">
        <f t="shared" si="36"/>
        <v>0</v>
      </c>
      <c r="W54" s="17">
        <f t="shared" si="37"/>
        <v>0</v>
      </c>
    </row>
    <row r="55" spans="1:23" x14ac:dyDescent="0.3">
      <c r="A55" s="29" t="s">
        <v>18</v>
      </c>
      <c r="B55" s="29"/>
      <c r="C55" s="30"/>
      <c r="D55" s="9"/>
      <c r="F55">
        <f>COUNTA(F11:F54)</f>
        <v>23</v>
      </c>
      <c r="H55">
        <f>COUNTA(H11:H54)</f>
        <v>16</v>
      </c>
      <c r="J55">
        <f>COUNTA(J11:J54)</f>
        <v>30</v>
      </c>
      <c r="L55">
        <f>COUNTA(L11:L54)</f>
        <v>21</v>
      </c>
      <c r="N55">
        <f>COUNTA(N11:N54)</f>
        <v>32</v>
      </c>
      <c r="P55">
        <f>COUNTA(P11:P54)</f>
        <v>21</v>
      </c>
      <c r="R55">
        <f>COUNTA(R11:R54)</f>
        <v>11</v>
      </c>
    </row>
    <row r="56" spans="1:23" x14ac:dyDescent="0.3">
      <c r="A56" s="32" t="s">
        <v>40</v>
      </c>
      <c r="B56" s="32"/>
      <c r="C56" s="32"/>
      <c r="F56" s="16">
        <f>F55/$G$2</f>
        <v>0.56097560975609762</v>
      </c>
      <c r="H56" s="16">
        <f>H55/$G$2</f>
        <v>0.3902439024390244</v>
      </c>
      <c r="J56" s="16">
        <f>J55/$G$2</f>
        <v>0.73170731707317072</v>
      </c>
      <c r="L56" s="16">
        <f>L55/$G$2</f>
        <v>0.51219512195121952</v>
      </c>
      <c r="N56" s="16">
        <f>N55/$G$2</f>
        <v>0.78048780487804881</v>
      </c>
      <c r="P56" s="16">
        <f>P55/$G$2</f>
        <v>0.51219512195121952</v>
      </c>
      <c r="R56" s="16">
        <f>R55/$G$2</f>
        <v>0.26829268292682928</v>
      </c>
    </row>
    <row r="58" spans="1:23" x14ac:dyDescent="0.3">
      <c r="L58" t="s">
        <v>22</v>
      </c>
    </row>
    <row r="59" spans="1:23" x14ac:dyDescent="0.3">
      <c r="L59" t="s">
        <v>22</v>
      </c>
    </row>
    <row r="60" spans="1:23" x14ac:dyDescent="0.3">
      <c r="L60" t="s">
        <v>22</v>
      </c>
    </row>
    <row r="61" spans="1:23" x14ac:dyDescent="0.3">
      <c r="L61" t="s">
        <v>22</v>
      </c>
    </row>
    <row r="62" spans="1:23" x14ac:dyDescent="0.3">
      <c r="L62" t="s">
        <v>22</v>
      </c>
    </row>
    <row r="63" spans="1:23" x14ac:dyDescent="0.3">
      <c r="L63" t="s">
        <v>22</v>
      </c>
    </row>
    <row r="64" spans="1:23" x14ac:dyDescent="0.3">
      <c r="L64" t="s">
        <v>22</v>
      </c>
    </row>
    <row r="65" spans="12:13" x14ac:dyDescent="0.3">
      <c r="L65" t="s">
        <v>22</v>
      </c>
    </row>
    <row r="66" spans="12:13" x14ac:dyDescent="0.3">
      <c r="L66" t="s">
        <v>22</v>
      </c>
    </row>
    <row r="67" spans="12:13" x14ac:dyDescent="0.3">
      <c r="L67" t="s">
        <v>22</v>
      </c>
    </row>
    <row r="68" spans="12:13" x14ac:dyDescent="0.3">
      <c r="L68" t="s">
        <v>22</v>
      </c>
    </row>
    <row r="69" spans="12:13" x14ac:dyDescent="0.3">
      <c r="L69" t="s">
        <v>22</v>
      </c>
    </row>
    <row r="70" spans="12:13" x14ac:dyDescent="0.3">
      <c r="L70" t="s">
        <v>22</v>
      </c>
      <c r="M70" t="s">
        <v>65</v>
      </c>
    </row>
    <row r="71" spans="12:13" x14ac:dyDescent="0.3">
      <c r="L71" t="s">
        <v>22</v>
      </c>
      <c r="M71" t="s">
        <v>66</v>
      </c>
    </row>
    <row r="72" spans="12:13" x14ac:dyDescent="0.3">
      <c r="L72" t="s">
        <v>22</v>
      </c>
      <c r="M72" t="s">
        <v>67</v>
      </c>
    </row>
    <row r="73" spans="12:13" x14ac:dyDescent="0.3">
      <c r="L73" t="s">
        <v>22</v>
      </c>
      <c r="M73" t="s">
        <v>68</v>
      </c>
    </row>
    <row r="74" spans="12:13" x14ac:dyDescent="0.3">
      <c r="L74" t="s">
        <v>22</v>
      </c>
      <c r="M74" t="s">
        <v>69</v>
      </c>
    </row>
    <row r="75" spans="12:13" x14ac:dyDescent="0.3">
      <c r="L75" t="s">
        <v>22</v>
      </c>
      <c r="M75" t="s">
        <v>70</v>
      </c>
    </row>
    <row r="76" spans="12:13" x14ac:dyDescent="0.3">
      <c r="L76" t="s">
        <v>22</v>
      </c>
      <c r="M76" t="s">
        <v>71</v>
      </c>
    </row>
    <row r="77" spans="12:13" x14ac:dyDescent="0.3">
      <c r="L77" t="s">
        <v>22</v>
      </c>
      <c r="M77" t="s">
        <v>72</v>
      </c>
    </row>
    <row r="78" spans="12:13" x14ac:dyDescent="0.3">
      <c r="L78" t="s">
        <v>22</v>
      </c>
      <c r="M78" t="s">
        <v>73</v>
      </c>
    </row>
    <row r="79" spans="12:13" x14ac:dyDescent="0.3">
      <c r="L79" t="s">
        <v>22</v>
      </c>
      <c r="M79" t="s">
        <v>74</v>
      </c>
    </row>
    <row r="80" spans="12:13" x14ac:dyDescent="0.3">
      <c r="M80" t="s">
        <v>75</v>
      </c>
    </row>
    <row r="81" spans="13:13" x14ac:dyDescent="0.3">
      <c r="M81" t="s">
        <v>76</v>
      </c>
    </row>
    <row r="82" spans="13:13" x14ac:dyDescent="0.3">
      <c r="M82" t="s">
        <v>77</v>
      </c>
    </row>
    <row r="83" spans="13:13" x14ac:dyDescent="0.3">
      <c r="M83" t="s">
        <v>78</v>
      </c>
    </row>
    <row r="84" spans="13:13" x14ac:dyDescent="0.3">
      <c r="M84" t="s">
        <v>79</v>
      </c>
    </row>
    <row r="85" spans="13:13" x14ac:dyDescent="0.3">
      <c r="M85" t="s">
        <v>80</v>
      </c>
    </row>
    <row r="86" spans="13:13" x14ac:dyDescent="0.3">
      <c r="M86" t="s">
        <v>81</v>
      </c>
    </row>
    <row r="87" spans="13:13" x14ac:dyDescent="0.3">
      <c r="M87" t="s">
        <v>82</v>
      </c>
    </row>
    <row r="88" spans="13:13" x14ac:dyDescent="0.3">
      <c r="M88" t="s">
        <v>83</v>
      </c>
    </row>
    <row r="89" spans="13:13" x14ac:dyDescent="0.3">
      <c r="M89" t="s">
        <v>84</v>
      </c>
    </row>
    <row r="90" spans="13:13" x14ac:dyDescent="0.3">
      <c r="M90" t="s">
        <v>85</v>
      </c>
    </row>
    <row r="91" spans="13:13" x14ac:dyDescent="0.3">
      <c r="M91" t="s">
        <v>86</v>
      </c>
    </row>
    <row r="92" spans="13:13" x14ac:dyDescent="0.3">
      <c r="M92" t="s">
        <v>87</v>
      </c>
    </row>
  </sheetData>
  <sortState xmlns:xlrd2="http://schemas.microsoft.com/office/spreadsheetml/2017/richdata2" ref="A11:W51">
    <sortCondition descending="1" ref="T11:T51"/>
  </sortState>
  <mergeCells count="33">
    <mergeCell ref="A55:C55"/>
    <mergeCell ref="E2:F2"/>
    <mergeCell ref="E3:F3"/>
    <mergeCell ref="A56:C56"/>
    <mergeCell ref="F9:G9"/>
    <mergeCell ref="F8:G8"/>
    <mergeCell ref="H9:I9"/>
    <mergeCell ref="J9:K9"/>
    <mergeCell ref="L9:M9"/>
    <mergeCell ref="N9:O9"/>
    <mergeCell ref="R9:S9"/>
    <mergeCell ref="P9:Q9"/>
    <mergeCell ref="H8:I8"/>
    <mergeCell ref="J8:K8"/>
    <mergeCell ref="L8:M8"/>
    <mergeCell ref="N8:O8"/>
    <mergeCell ref="R8:S8"/>
    <mergeCell ref="P8:Q8"/>
    <mergeCell ref="R6:S6"/>
    <mergeCell ref="F7:G7"/>
    <mergeCell ref="H7:I7"/>
    <mergeCell ref="J7:K7"/>
    <mergeCell ref="L7:M7"/>
    <mergeCell ref="N7:O7"/>
    <mergeCell ref="R7:S7"/>
    <mergeCell ref="P6:Q6"/>
    <mergeCell ref="P7:Q7"/>
    <mergeCell ref="A1:N1"/>
    <mergeCell ref="F6:G6"/>
    <mergeCell ref="H6:I6"/>
    <mergeCell ref="J6:K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d9290083-bd2f-48a2-8ac5-09a524b17d15}" enabled="1" method="Privileged" siteId="{b9fec68c-c92d-461e-9a97-3d03a0f18b82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2</vt:i4>
      </vt:variant>
    </vt:vector>
  </HeadingPairs>
  <TitlesOfParts>
    <vt:vector size="23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SH-M11- coupe du futur</vt:lpstr>
      <vt:lpstr>SD-M11-</vt:lpstr>
      <vt:lpstr>SD-M11 coupe du futur</vt:lpstr>
      <vt:lpstr>SH-M9-</vt:lpstr>
      <vt:lpstr>SH-M9- coupe du futur</vt:lpstr>
      <vt:lpstr>SD-M9-</vt:lpstr>
      <vt:lpstr>SD-M9-coupe du futur</vt:lpstr>
      <vt:lpstr>Statistiques</vt:lpstr>
      <vt:lpstr>'SD-M13-'!Zone_d_impression</vt:lpstr>
      <vt:lpstr>'SH-M13-'!Zone_d_impression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2024-05-27T07:40:23Z</cp:lastPrinted>
  <dcterms:created xsi:type="dcterms:W3CDTF">2019-05-02T05:27:41Z</dcterms:created>
  <dcterms:modified xsi:type="dcterms:W3CDTF">2024-07-01T09:09:36Z</dcterms:modified>
</cp:coreProperties>
</file>